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i-my.sharepoint.com/personal/scott_canfield_nutrien_com/Documents/1 - Scott Canfield OD/My Documents/2 - End User Programs/"/>
    </mc:Choice>
  </mc:AlternateContent>
  <xr:revisionPtr revIDLastSave="0" documentId="8_{644F394D-CD3E-4A67-A74E-16ECC087878C}" xr6:coauthVersionLast="47" xr6:coauthVersionMax="47" xr10:uidLastSave="{00000000-0000-0000-0000-000000000000}"/>
  <workbookProtection workbookAlgorithmName="SHA-512" workbookHashValue="7mko3ufTOQgm8BYIHksXT08taUn8sMDubM7zkIxX04Ie0R02YYniaDcAxnmTbRg6Km8RsIwzwYu57dPwU2DIow==" workbookSaltValue="k8moeQpuGAzkVpBA0SHwOQ==" workbookSpinCount="100000" lockStructure="1"/>
  <bookViews>
    <workbookView xWindow="-120" yWindow="-120" windowWidth="29040" windowHeight="15525" xr2:uid="{47E820C8-F8DF-412E-8B73-FB77A2B9CF60}"/>
  </bookViews>
  <sheets>
    <sheet name="2023 NOW-CALCULATOR" sheetId="1" r:id="rId1"/>
    <sheet name="PRINTABLE SUMMARY" sheetId="3" r:id="rId2"/>
    <sheet name="PAIRING DETAILS" sheetId="8" r:id="rId3"/>
  </sheets>
  <definedNames>
    <definedName name="California_Header">#REF!</definedName>
    <definedName name="California_ProductForm">#REF!</definedName>
    <definedName name="California_Summary">#REF!</definedName>
    <definedName name="National_Header">'2023 NOW-CALCULATOR'!$B$2:$D$7</definedName>
    <definedName name="National_ProductForm">'2023 NOW-CALCULATOR'!$B$12:$Y$28</definedName>
    <definedName name="National_Summary">'2023 NOW-CALCULATOR'!$B$29:$E$42</definedName>
    <definedName name="NYNassauSuffolk_Header">#REF!</definedName>
    <definedName name="NYNassauSuffolk_ProductForm">#REF!</definedName>
    <definedName name="NYNassauSuffolk_Summary">#REF!</definedName>
    <definedName name="Washington_Header">#REF!</definedName>
    <definedName name="Washington_ProductForm">#REF!</definedName>
    <definedName name="Washington_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 l="1"/>
  <c r="D13" i="3"/>
  <c r="L23" i="1"/>
  <c r="L24" i="1"/>
  <c r="L25" i="1"/>
  <c r="I19" i="1"/>
  <c r="I20" i="1"/>
  <c r="O16" i="1"/>
  <c r="Q16" i="1"/>
  <c r="Y21" i="1"/>
  <c r="U16" i="1"/>
  <c r="Y18" i="1"/>
  <c r="P17" i="1"/>
  <c r="D14" i="3"/>
  <c r="D15" i="3"/>
  <c r="D16" i="3"/>
  <c r="D17" i="3"/>
  <c r="D18" i="3"/>
  <c r="D19" i="3"/>
  <c r="D20" i="3"/>
  <c r="D21" i="3"/>
  <c r="D22" i="3"/>
  <c r="D23" i="3"/>
  <c r="D24" i="3"/>
  <c r="C14" i="3"/>
  <c r="C15" i="3"/>
  <c r="C16" i="3"/>
  <c r="C17" i="3"/>
  <c r="C18" i="3"/>
  <c r="C19" i="3"/>
  <c r="C20" i="3"/>
  <c r="C21" i="3"/>
  <c r="C22" i="3"/>
  <c r="C23" i="3"/>
  <c r="C24" i="3"/>
  <c r="Y20" i="1"/>
  <c r="G18" i="8" l="1"/>
  <c r="G17" i="8"/>
  <c r="G10" i="8"/>
  <c r="G9" i="8"/>
  <c r="I17" i="1"/>
  <c r="E14" i="3" s="1"/>
  <c r="I18" i="1"/>
  <c r="E15" i="3" s="1"/>
  <c r="E16" i="3"/>
  <c r="E17" i="3"/>
  <c r="I21" i="1"/>
  <c r="E18" i="3" s="1"/>
  <c r="I22" i="1"/>
  <c r="E19" i="3" s="1"/>
  <c r="I23" i="1"/>
  <c r="I24" i="1"/>
  <c r="E21" i="3" s="1"/>
  <c r="I25" i="1"/>
  <c r="E22" i="3" s="1"/>
  <c r="I26" i="1"/>
  <c r="E23" i="3" s="1"/>
  <c r="I27" i="1"/>
  <c r="E24" i="3" s="1"/>
  <c r="J17" i="1"/>
  <c r="K17" i="1"/>
  <c r="J18" i="1"/>
  <c r="K18" i="1"/>
  <c r="J19" i="1"/>
  <c r="K19" i="1"/>
  <c r="J20" i="1"/>
  <c r="J21" i="1"/>
  <c r="J22" i="1"/>
  <c r="K22" i="1"/>
  <c r="J23" i="1"/>
  <c r="K23" i="1"/>
  <c r="J24" i="1"/>
  <c r="K24" i="1"/>
  <c r="J25" i="1"/>
  <c r="K25" i="1"/>
  <c r="J26" i="1"/>
  <c r="K26" i="1"/>
  <c r="J27" i="1"/>
  <c r="J16" i="1"/>
  <c r="K16" i="1"/>
  <c r="L2" i="1"/>
  <c r="U27" i="1"/>
  <c r="K27" i="1" s="1"/>
  <c r="U20" i="1"/>
  <c r="K20" i="1" s="1"/>
  <c r="U21" i="1"/>
  <c r="K21" i="1" s="1"/>
  <c r="B6" i="3"/>
  <c r="B7" i="3"/>
  <c r="B4" i="3"/>
  <c r="B5" i="3"/>
  <c r="B3" i="3"/>
  <c r="G19" i="1"/>
  <c r="G20" i="1"/>
  <c r="G21" i="1"/>
  <c r="G22" i="1"/>
  <c r="G23" i="1"/>
  <c r="G24" i="1"/>
  <c r="G25" i="1"/>
  <c r="G26" i="1"/>
  <c r="G27" i="1"/>
  <c r="Y19" i="1"/>
  <c r="Y22" i="1"/>
  <c r="Y23" i="1"/>
  <c r="Y24" i="1"/>
  <c r="Y25" i="1"/>
  <c r="Y26" i="1"/>
  <c r="Y27" i="1"/>
  <c r="Y16" i="1"/>
  <c r="Y17" i="1"/>
  <c r="G18" i="1"/>
  <c r="E20" i="3" l="1"/>
  <c r="K28" i="1"/>
  <c r="J28" i="1"/>
  <c r="Y28" i="1"/>
  <c r="X28" i="1" s="1"/>
  <c r="X16" i="1" l="1"/>
  <c r="X18" i="1"/>
  <c r="W21" i="1"/>
  <c r="W22" i="1"/>
  <c r="W26" i="1"/>
  <c r="W27" i="1"/>
  <c r="W18" i="1"/>
  <c r="W19" i="1"/>
  <c r="L19" i="1" s="1"/>
  <c r="W17" i="1"/>
  <c r="W16" i="1"/>
  <c r="W20" i="1"/>
  <c r="L20" i="1" s="1"/>
  <c r="X22" i="1"/>
  <c r="X26" i="1"/>
  <c r="X17" i="1"/>
  <c r="X19" i="1"/>
  <c r="X27" i="1"/>
  <c r="X21" i="1"/>
  <c r="X20" i="1"/>
  <c r="L18" i="1" l="1"/>
  <c r="L22" i="1"/>
  <c r="L21" i="1"/>
  <c r="L26" i="1"/>
  <c r="L27" i="1"/>
  <c r="L17" i="1"/>
  <c r="M18" i="1"/>
  <c r="M23" i="1"/>
  <c r="N23" i="1" s="1"/>
  <c r="M24" i="1"/>
  <c r="N24" i="1" s="1"/>
  <c r="M26" i="1"/>
  <c r="M22" i="1"/>
  <c r="M19" i="1"/>
  <c r="F20" i="3" l="1"/>
  <c r="F21" i="3"/>
  <c r="N26" i="1"/>
  <c r="F23" i="3"/>
  <c r="N22" i="1"/>
  <c r="F19" i="3"/>
  <c r="N19" i="1"/>
  <c r="F16" i="3"/>
  <c r="N18" i="1"/>
  <c r="F15" i="3"/>
  <c r="O27" i="1"/>
  <c r="O26" i="1"/>
  <c r="O22" i="1"/>
  <c r="O25" i="1"/>
  <c r="O24" i="1"/>
  <c r="O23" i="1"/>
  <c r="P18" i="1"/>
  <c r="O18" i="1" s="1"/>
  <c r="O17" i="1"/>
  <c r="I16" i="1" l="1"/>
  <c r="E13" i="3" s="1"/>
  <c r="E25" i="3" s="1"/>
  <c r="M21" i="1"/>
  <c r="M25" i="1"/>
  <c r="M27" i="1"/>
  <c r="N27" i="1" l="1"/>
  <c r="F24" i="3"/>
  <c r="N21" i="1"/>
  <c r="F18" i="3"/>
  <c r="N25" i="1"/>
  <c r="F22" i="3"/>
  <c r="M20" i="1"/>
  <c r="I28" i="1"/>
  <c r="L15" i="1" l="1"/>
  <c r="E36" i="1"/>
  <c r="N20" i="1"/>
  <c r="F17" i="3"/>
  <c r="E35" i="1"/>
  <c r="A2" i="3"/>
  <c r="E33" i="3" l="1"/>
  <c r="Q27" i="1"/>
  <c r="Q25" i="1" l="1"/>
  <c r="Q24" i="1"/>
  <c r="Q23" i="1"/>
  <c r="Q22" i="1"/>
  <c r="P21" i="1"/>
  <c r="Q21" i="1" s="1"/>
  <c r="P20" i="1"/>
  <c r="Q20" i="1" s="1"/>
  <c r="P19" i="1"/>
  <c r="Q19" i="1" s="1"/>
  <c r="Q18" i="1"/>
  <c r="G17" i="1"/>
  <c r="G16" i="1"/>
  <c r="L16" i="1" s="1"/>
  <c r="G28" i="1" l="1"/>
  <c r="E37" i="1" l="1"/>
  <c r="M17" i="1"/>
  <c r="L28" i="1"/>
  <c r="E33" i="1"/>
  <c r="E38" i="1" l="1"/>
  <c r="E39" i="1"/>
  <c r="E41" i="1"/>
  <c r="F14" i="3"/>
  <c r="N17" i="1"/>
  <c r="E30" i="3"/>
  <c r="E40" i="1"/>
  <c r="E37" i="3" s="1"/>
  <c r="E34" i="1"/>
  <c r="B42" i="1"/>
  <c r="M16" i="1"/>
  <c r="N16" i="1" l="1"/>
  <c r="F13" i="3"/>
  <c r="E34" i="3"/>
  <c r="A39" i="3" s="1"/>
  <c r="N28" i="1" l="1"/>
  <c r="E35" i="3"/>
  <c r="E31" i="3"/>
  <c r="E36" i="3"/>
  <c r="E32" i="3" l="1"/>
  <c r="E38" i="3"/>
  <c r="Q17" i="1" l="1"/>
  <c r="Q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McNamara</author>
    <author>stage.maverick.bayer.us</author>
    <author>Mark Ford</author>
  </authors>
  <commentList>
    <comment ref="E16" authorId="0" shapeId="0" xr:uid="{7FB94FF1-8524-4867-86E9-B6929CCCED2D}">
      <text>
        <r>
          <rPr>
            <b/>
            <u/>
            <sz val="9"/>
            <color indexed="81"/>
            <rFont val="Tahoma"/>
            <family val="2"/>
          </rPr>
          <t>Rebate Finder</t>
        </r>
        <r>
          <rPr>
            <b/>
            <sz val="9"/>
            <color indexed="81"/>
            <rFont val="Tahoma"/>
            <family val="2"/>
          </rPr>
          <t xml:space="preserve">
</t>
        </r>
        <r>
          <rPr>
            <sz val="9"/>
            <color indexed="81"/>
            <rFont val="Tahoma"/>
            <family val="2"/>
          </rPr>
          <t xml:space="preserve">Note: To qualify for this item's select rebate of $5, you must add minimum of 16 units. Pair 16+ with 2+ Specticle for an additional $5 rebate per unit
</t>
        </r>
      </text>
    </comment>
    <comment ref="E20" authorId="1" shapeId="0" xr:uid="{65E1CC27-4E31-46B3-B08A-246A0E1C5246}">
      <text>
        <r>
          <rPr>
            <sz val="11"/>
            <color rgb="FF000000"/>
            <rFont val="Calibri"/>
            <family val="2"/>
          </rPr>
          <t>Rebate Finder
Note: To qualify for this item's select rebate of $25, you must add minimum of 6 units. Pair 6+ units with 2 units of Mirage for an additional rebate of $21 per bottle.</t>
        </r>
      </text>
    </comment>
    <comment ref="E21" authorId="1" shapeId="0" xr:uid="{D7961BA6-38F0-4AAE-B7F6-660A1E8E77F1}">
      <text>
        <r>
          <rPr>
            <b/>
            <u/>
            <sz val="9"/>
            <color rgb="FF000000"/>
            <rFont val="Tahoma"/>
            <family val="2"/>
          </rPr>
          <t>Rebate Finder</t>
        </r>
        <r>
          <rPr>
            <sz val="9"/>
            <color rgb="FF000000"/>
            <rFont val="Tahoma"/>
            <family val="2"/>
          </rPr>
          <t xml:space="preserve">
Note: Pair 2+ units with 6+ units of Interface to receive a $26 rebate per unit of Mirage.</t>
        </r>
      </text>
    </comment>
    <comment ref="E23" authorId="0" shapeId="0" xr:uid="{81C6D91E-67BB-461A-AB70-D34E4C480478}">
      <text>
        <r>
          <rPr>
            <b/>
            <sz val="9"/>
            <color indexed="81"/>
            <rFont val="Tahoma"/>
            <family val="2"/>
          </rPr>
          <t>Purchases count towards rebate tier, but do not receive tier rebate</t>
        </r>
      </text>
    </comment>
    <comment ref="E24" authorId="0" shapeId="0" xr:uid="{481C712D-349D-4960-A906-AA558A6D8747}">
      <text>
        <r>
          <rPr>
            <b/>
            <sz val="9"/>
            <color indexed="81"/>
            <rFont val="Tahoma"/>
            <family val="2"/>
          </rPr>
          <t>Purchases count towards rebate tier, but do not receive tier rebate</t>
        </r>
      </text>
    </comment>
    <comment ref="E25" authorId="0" shapeId="0" xr:uid="{85A1D20D-7BCB-4CEB-9341-01F2EAC62D0B}">
      <text>
        <r>
          <rPr>
            <b/>
            <sz val="9"/>
            <color indexed="81"/>
            <rFont val="Tahoma"/>
            <family val="2"/>
          </rPr>
          <t>Purchases count towards rebate tier, but do not receive tier rebate</t>
        </r>
      </text>
    </comment>
    <comment ref="E26" authorId="1" shapeId="0" xr:uid="{1AC36568-96C8-4B5D-A71F-9A5A0EF8ABFE}">
      <text>
        <r>
          <rPr>
            <b/>
            <u/>
            <sz val="9"/>
            <color rgb="FF000000"/>
            <rFont val="Tahoma"/>
            <family val="2"/>
          </rPr>
          <t>Rebate Finder</t>
        </r>
        <r>
          <rPr>
            <sz val="9"/>
            <color rgb="FF000000"/>
            <rFont val="Tahoma"/>
            <family val="2"/>
          </rPr>
          <t xml:space="preserve">
Note: To qualify for this item's select rebate of $11, you must add minimum of 20 units.</t>
        </r>
      </text>
    </comment>
    <comment ref="E27" authorId="2" shapeId="0" xr:uid="{5FB07765-E2B5-423E-B486-C34B59BCB61D}">
      <text>
        <r>
          <rPr>
            <b/>
            <sz val="9"/>
            <color indexed="81"/>
            <rFont val="Tahoma"/>
            <family val="2"/>
          </rPr>
          <t xml:space="preserve">Rebate Finder:
</t>
        </r>
        <r>
          <rPr>
            <sz val="9"/>
            <color indexed="81"/>
            <rFont val="Tahoma"/>
            <family val="2"/>
          </rPr>
          <t xml:space="preserve">Pair 6+ units with 2+ units of Specticle FLO to receive $25 pairing rebate.
</t>
        </r>
      </text>
    </comment>
  </commentList>
</comments>
</file>

<file path=xl/sharedStrings.xml><?xml version="1.0" encoding="utf-8"?>
<sst xmlns="http://schemas.openxmlformats.org/spreadsheetml/2006/main" count="201" uniqueCount="130">
  <si>
    <t xml:space="preserve">         CALIFORNIA 2023 NOW SOLUTIONS CALCULATOR                  </t>
  </si>
  <si>
    <r>
      <t>PAIRING REBATES</t>
    </r>
    <r>
      <rPr>
        <b/>
        <vertAlign val="superscript"/>
        <sz val="8"/>
        <color theme="1"/>
        <rFont val="Calibri"/>
        <family val="2"/>
      </rPr>
      <t>**†</t>
    </r>
  </si>
  <si>
    <r>
      <t>PURCHASE TIER REBATE</t>
    </r>
    <r>
      <rPr>
        <b/>
        <vertAlign val="superscript"/>
        <sz val="8"/>
        <color theme="1"/>
        <rFont val="Calibri"/>
        <family val="2"/>
      </rPr>
      <t>*</t>
    </r>
  </si>
  <si>
    <t>PAIRING</t>
  </si>
  <si>
    <t>PRODUCTS</t>
  </si>
  <si>
    <t>QUANTITY</t>
  </si>
  <si>
    <t>REBATE 
per unit</t>
  </si>
  <si>
    <t>MINIMUM</t>
  </si>
  <si>
    <t>MAXIMUM</t>
  </si>
  <si>
    <r>
      <t>BASE 
REBATE %</t>
    </r>
    <r>
      <rPr>
        <b/>
        <sz val="8"/>
        <color rgb="FF000000"/>
        <rFont val="Calibri"/>
        <family val="2"/>
      </rPr>
      <t>**†</t>
    </r>
  </si>
  <si>
    <t>AUG-OCT BONUS**†</t>
  </si>
  <si>
    <r>
      <t>BASE + EARLY ORDER BONUS REBATE %</t>
    </r>
    <r>
      <rPr>
        <b/>
        <vertAlign val="superscript"/>
        <sz val="8"/>
        <color rgb="FF000000"/>
        <rFont val="Calibri"/>
        <family val="2"/>
      </rPr>
      <t>**†</t>
    </r>
  </si>
  <si>
    <t>TOTAL PURCHASE REBATE</t>
  </si>
  <si>
    <t>NAME YOUR DRAFT ORDER HERE</t>
  </si>
  <si>
    <t>Snow Mold</t>
  </si>
  <si>
    <t>Interface</t>
  </si>
  <si>
    <t>MINIMUM QTY</t>
  </si>
  <si>
    <t>MAXIMUM QTY</t>
  </si>
  <si>
    <t>REBATE %</t>
  </si>
  <si>
    <r>
      <rPr>
        <b/>
        <sz val="10"/>
        <color rgb="FF000000"/>
        <rFont val="Calibri"/>
        <family val="2"/>
      </rPr>
      <t>Description</t>
    </r>
    <r>
      <rPr>
        <sz val="10"/>
        <color rgb="FF000000"/>
        <rFont val="Calibri"/>
        <family val="2"/>
      </rPr>
      <t xml:space="preserve">: </t>
    </r>
  </si>
  <si>
    <t>Mirage</t>
  </si>
  <si>
    <r>
      <rPr>
        <b/>
        <sz val="10"/>
        <color rgb="FF000000"/>
        <rFont val="Calibri"/>
        <family val="2"/>
      </rPr>
      <t>Dist/DSR</t>
    </r>
    <r>
      <rPr>
        <sz val="10"/>
        <color rgb="FF000000"/>
        <rFont val="Calibri"/>
        <family val="2"/>
      </rPr>
      <t xml:space="preserve">: </t>
    </r>
  </si>
  <si>
    <t>PRE3</t>
  </si>
  <si>
    <t>Specticle FLO</t>
  </si>
  <si>
    <t>ADMIN COLUMNS</t>
  </si>
  <si>
    <r>
      <rPr>
        <b/>
        <sz val="10"/>
        <color rgb="FF000000"/>
        <rFont val="Calibri"/>
        <family val="2"/>
      </rPr>
      <t>MER#</t>
    </r>
    <r>
      <rPr>
        <sz val="10"/>
        <color rgb="FF000000"/>
        <rFont val="Calibri"/>
        <family val="2"/>
      </rPr>
      <t xml:space="preserve">: </t>
    </r>
  </si>
  <si>
    <t>Tribute Total</t>
  </si>
  <si>
    <r>
      <rPr>
        <b/>
        <sz val="10"/>
        <color rgb="FF000000"/>
        <rFont val="Calibri"/>
        <family val="2"/>
      </rPr>
      <t>Last Updated</t>
    </r>
    <r>
      <rPr>
        <sz val="10"/>
        <color rgb="FF000000"/>
        <rFont val="Calibri"/>
        <family val="2"/>
      </rPr>
      <t xml:space="preserve">: </t>
    </r>
  </si>
  <si>
    <t>Dual Defense</t>
  </si>
  <si>
    <r>
      <rPr>
        <b/>
        <sz val="10"/>
        <color rgb="FF000000"/>
        <rFont val="Calibri"/>
        <family val="2"/>
      </rPr>
      <t>Created For</t>
    </r>
    <r>
      <rPr>
        <sz val="10"/>
        <color rgb="FF000000"/>
        <rFont val="Calibri"/>
        <family val="2"/>
      </rPr>
      <t xml:space="preserve">: </t>
    </r>
  </si>
  <si>
    <t>Celsius</t>
  </si>
  <si>
    <t>HIDE</t>
  </si>
  <si>
    <t>Invoice subtotal must be a minimum of  $5,000 across NOW/FALL promotions  to receive  rebates</t>
  </si>
  <si>
    <t>SELECT REBATE</t>
  </si>
  <si>
    <t>PAIRING REBATE</t>
  </si>
  <si>
    <t>PURCHASE TIER REBATE</t>
  </si>
  <si>
    <t>REBATE FINDER. (Minimum Program Purchase to receive rebates is $5,000)</t>
  </si>
  <si>
    <t>PRODUCT NAME</t>
  </si>
  <si>
    <t>UNIT SIZE</t>
  </si>
  <si>
    <t># UNITS</t>
  </si>
  <si>
    <t>INSEASON PRICE</t>
  </si>
  <si>
    <t>INSEASON SUBTOTAL</t>
  </si>
  <si>
    <t>CALIFORNIA PRICE/
UNIT*</t>
  </si>
  <si>
    <t>INVOICE SUBTOTAL</t>
  </si>
  <si>
    <t>SELECT REBATES**†</t>
  </si>
  <si>
    <t>PAIRING REBATES**†</t>
  </si>
  <si>
    <t>PURCHASE TIER REBATE**†</t>
  </si>
  <si>
    <r>
      <t>NET PRICE/UNIT</t>
    </r>
    <r>
      <rPr>
        <b/>
        <sz val="6"/>
        <color rgb="FF000000"/>
        <rFont val="Calibri"/>
        <family val="2"/>
      </rPr>
      <t xml:space="preserve"> </t>
    </r>
    <r>
      <rPr>
        <b/>
        <sz val="8"/>
        <color rgb="FF000000"/>
        <rFont val="Calibri"/>
        <family val="2"/>
      </rPr>
      <t>(all rebates, incl. purchase tier)</t>
    </r>
  </si>
  <si>
    <t>TOTAL AFTER REBATE</t>
  </si>
  <si>
    <t>USE RATE / 1,000 FT2</t>
  </si>
  <si>
    <t>USE RATE / ACRE</t>
  </si>
  <si>
    <t>TOTAL ACRES TREATED</t>
  </si>
  <si>
    <t>Required Qty</t>
  </si>
  <si>
    <t>Rebate</t>
  </si>
  <si>
    <t>Qualify?</t>
  </si>
  <si>
    <t xml:space="preserve">Rebate </t>
  </si>
  <si>
    <t>Aug - Oct Early Pay Bonus</t>
  </si>
  <si>
    <t>Purchase Tier Rebate</t>
  </si>
  <si>
    <t>Total must be &gt; $5000 to qualify for rebates</t>
  </si>
  <si>
    <t>$5 Select for 16+/ $5 16+ pairing w/2+ Specticle/Tier</t>
  </si>
  <si>
    <t>10 oz. bottle</t>
  </si>
  <si>
    <t>Purchase Tier</t>
  </si>
  <si>
    <t>Indemnify® (1-5 units)</t>
  </si>
  <si>
    <t>17.1 oz. bottle</t>
  </si>
  <si>
    <t>Indemnify® (6+ units)</t>
  </si>
  <si>
    <t>Interface® Stressgard® (1-5 units)</t>
  </si>
  <si>
    <t>2.5 gal. bottle</t>
  </si>
  <si>
    <t>$25 Select for 6 +, $21 Pairing w/2+ Mirage/Tier</t>
  </si>
  <si>
    <t>Interface® Stressgard® (6+ units)</t>
  </si>
  <si>
    <t>$26 2+ Pairing w/6+ Interface/Tier</t>
  </si>
  <si>
    <t>Mirage® Stressgard®</t>
  </si>
  <si>
    <t>Revolver®</t>
  </si>
  <si>
    <t>87 oz. bottle</t>
  </si>
  <si>
    <t>Purchases count towards rebate tier but do not receive a rebate</t>
  </si>
  <si>
    <t>Specticle® FLO (1-13 units)</t>
  </si>
  <si>
    <t xml:space="preserve">1 gal. bottle </t>
  </si>
  <si>
    <t>Specticle® FLO (14-25 units)</t>
  </si>
  <si>
    <t>Specticle® FLO (26+ units)</t>
  </si>
  <si>
    <t>$11 Select  for 20+ /Tier</t>
  </si>
  <si>
    <t>Specticle® G</t>
  </si>
  <si>
    <t>50 lb. bag</t>
  </si>
  <si>
    <t xml:space="preserve">Tribute® Total </t>
  </si>
  <si>
    <t>6 oz. bottle</t>
  </si>
  <si>
    <t>Summary</t>
  </si>
  <si>
    <t xml:space="preserve">ALWAYS READ AND FOLLOW LABEL INSTRUCTIONS. Environmental Science U.S. LLC, 5000 CentreGreen Way, Suite 400, Cary, NC 27513. Not all products are registered in all states. Envu, the Envu logo, Resilia,  Densicor,  Interface, Mirage, Indemnify, Celsius, Revolver, Specticle and Tribute are trademarks owned by Environmental Science U.S. LLC or one of its affiliates. ©2023 Environmental Science U.S. LLC. </t>
  </si>
  <si>
    <t>Summary is provided as an estimate only. See program rules and conditions. Rebate calculation excludes the California Mill Tax.</t>
  </si>
  <si>
    <t>Total Before Off Invoice Volume Discounts</t>
  </si>
  <si>
    <r>
      <t>*Pricing for California only. Must be purchased on a single invoice to receive volume discount price.  **Must be registered in My Envu Rewards and accept current Terms and Conditions to participate. Rebate calculation excludes the California Mill Tax. ***Savings compared to 1 unit at the National price. †Customer Fall Solutions and NOW Solutions promotional cumulative purchases (Aug. 1 - Dec. 4, 2023) must be $5,000 or more to qualify for program rebates. New members signed up before Dec. 31, 2023, will receive 2023 NOW/Fall Solutions rebates. All rebates for 2022 NOW/Fall Solutions will be paid in points, which can be redeemed for thousands of catalog items, distributor credits and/or company checks (no checks can be issued to a third party). All products must be invoiced between Aug. 1 and Sept. 30, 2023, to qualify for NOW Solutions.</t>
    </r>
    <r>
      <rPr>
        <b/>
        <sz val="9"/>
        <color rgb="FF000000"/>
        <rFont val="Calibri"/>
        <family val="2"/>
      </rPr>
      <t xml:space="preserve"> </t>
    </r>
    <r>
      <rPr>
        <b/>
        <sz val="12"/>
        <color rgb="FF000000"/>
        <rFont val="Calibri"/>
        <family val="2"/>
      </rPr>
      <t>Rebate calculations will be based on the date of actual product invoice and calculator tools are provided for estimation purposes only.</t>
    </r>
    <r>
      <rPr>
        <sz val="9"/>
        <color rgb="FF000000"/>
        <rFont val="Calibri"/>
        <family val="2"/>
      </rPr>
      <t xml:space="preserve"> Rebates will only be paid or delivered to the company or name listed on the invoice. Please allow for rebates to be fulfilled by July 31, 2024. End users are only eligible for one Envu incentive program on these invoiced products. Must be an end user with MER membership and accept current Terms and Conditions. Resale of product(s) purchased within this program will not qualify for rebates. If questions arise, please contact MER at 1-888-456-6464 or email info@myenvurewards.com. Envu reserves the right to modify any portion thereof, or discontinue this program without prior notice.</t>
    </r>
  </si>
  <si>
    <t>Off Invoice Volume Discount</t>
  </si>
  <si>
    <t xml:space="preserve">NOW Solutions Invoice Total </t>
  </si>
  <si>
    <t>Purchase Tier Level (Assumes all products invoiced by October 31, 2023)</t>
  </si>
  <si>
    <t>Rebate (Total Program Purchase must be a minimum of $5,000 to receive rebates)</t>
  </si>
  <si>
    <t>Net Total after Rebate</t>
  </si>
  <si>
    <t>Rebate % (Total Program Purchase must be a minimum of $5,000 to receive rebates)</t>
  </si>
  <si>
    <t>Total Savings (Rebates + Off Invoice Volume Discounts)</t>
  </si>
  <si>
    <t>Total Savings % (Rebates + Off Invoice Volume Discounts)</t>
  </si>
  <si>
    <t>version 17JULV2</t>
  </si>
  <si>
    <r>
      <rPr>
        <b/>
        <sz val="10"/>
        <color rgb="FF000000"/>
        <rFont val="Calibri"/>
        <family val="2"/>
      </rPr>
      <t>Distributor/DSR</t>
    </r>
    <r>
      <rPr>
        <sz val="10"/>
        <color rgb="FF000000"/>
        <rFont val="Calibri"/>
        <family val="2"/>
      </rPr>
      <t xml:space="preserve">: </t>
    </r>
  </si>
  <si>
    <t>Page 1 of 1</t>
  </si>
  <si>
    <t>AGENCY PRODUCTS</t>
  </si>
  <si>
    <t>PRICE/UNIT</t>
  </si>
  <si>
    <t>SUBTOTAL</t>
  </si>
  <si>
    <t>NET PRICE/UNIT</t>
  </si>
  <si>
    <t xml:space="preserve">Celsius® </t>
  </si>
  <si>
    <t>Total Before Off Invoice Discounts</t>
  </si>
  <si>
    <t>NOW Solutions Invoice Total</t>
  </si>
  <si>
    <t>Purchase Tier Level (Assumes all products invoiced by October 31, 2023</t>
  </si>
  <si>
    <t>Rebate (Total Program Purchase must be a min of $5K to receive rebates)</t>
  </si>
  <si>
    <t>Net Total after Rebates</t>
  </si>
  <si>
    <t>Rebate % (Total Program Purchase must be a min of $5K to receive rebates)</t>
  </si>
  <si>
    <t>Total Savings  (Rebates + Off Invoice Discounts)</t>
  </si>
  <si>
    <t>Total Savings % (Rebates + Off Invoice Discounts)</t>
  </si>
  <si>
    <t>PRE3 Solution</t>
  </si>
  <si>
    <t>Agency Products</t>
  </si>
  <si>
    <t>GAL/OZ/LB</t>
  </si>
  <si>
    <t>TOTAL ACRES</t>
  </si>
  <si>
    <t xml:space="preserve">Specticle® FLO 1 gal. bottle </t>
  </si>
  <si>
    <t>2 GAL.</t>
  </si>
  <si>
    <t>Tribute® Total 6 oz. bottle</t>
  </si>
  <si>
    <t>36 FL OZ.</t>
  </si>
  <si>
    <t>Utility/Snow Mold Solution</t>
  </si>
  <si>
    <t>Interface® Stressgard® 2.5 gal. bottle</t>
  </si>
  <si>
    <t>15 GAL.</t>
  </si>
  <si>
    <t>Mirage® Stressgard® 2.5 gal. bottle</t>
  </si>
  <si>
    <t>5 GAL.</t>
  </si>
  <si>
    <t>Dual Defense Solution</t>
  </si>
  <si>
    <t>Celsius® WG 10 oz. bottle</t>
  </si>
  <si>
    <t>160 OZ.</t>
  </si>
  <si>
    <t>Specticle® FLO 1 gal. bottle</t>
  </si>
  <si>
    <t>1 gal. bottle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</si>
</sst>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
    <numFmt numFmtId="165" formatCode="\$\ #,##0.00"/>
    <numFmt numFmtId="166" formatCode="&quot;$&quot;#,##0.00"/>
    <numFmt numFmtId="167" formatCode="0.00##"/>
    <numFmt numFmtId="168" formatCode="0.00#"/>
    <numFmt numFmtId="169" formatCode="\$\ #,##0"/>
    <numFmt numFmtId="170" formatCode="0.0%"/>
  </numFmts>
  <fonts count="37" x14ac:knownFonts="1">
    <font>
      <sz val="11"/>
      <color rgb="FF000000"/>
      <name val="Calibri"/>
      <family val="2"/>
    </font>
    <font>
      <sz val="11"/>
      <color theme="1"/>
      <name val="Calibri"/>
      <family val="2"/>
      <scheme val="minor"/>
    </font>
    <font>
      <b/>
      <sz val="12"/>
      <color rgb="FF000000"/>
      <name val="Calibri"/>
      <family val="2"/>
    </font>
    <font>
      <sz val="10"/>
      <color rgb="FF000000"/>
      <name val="Calibri"/>
      <family val="2"/>
    </font>
    <font>
      <b/>
      <sz val="16"/>
      <color rgb="FF000000"/>
      <name val="Calibri"/>
      <family val="2"/>
    </font>
    <font>
      <b/>
      <sz val="9"/>
      <color rgb="FF000000"/>
      <name val="Calibri"/>
      <family val="2"/>
    </font>
    <font>
      <b/>
      <sz val="10"/>
      <color rgb="FF000000"/>
      <name val="Calibri"/>
      <family val="2"/>
    </font>
    <font>
      <sz val="14"/>
      <color rgb="FF000000"/>
      <name val="Calibri"/>
      <family val="2"/>
    </font>
    <font>
      <sz val="16"/>
      <color rgb="FF000000"/>
      <name val="Calibri"/>
      <family val="2"/>
    </font>
    <font>
      <b/>
      <sz val="14"/>
      <color rgb="FF000000"/>
      <name val="Calibri"/>
      <family val="2"/>
    </font>
    <font>
      <sz val="14"/>
      <color rgb="FFFFFFFF"/>
      <name val="Calibri"/>
      <family val="2"/>
    </font>
    <font>
      <b/>
      <u/>
      <sz val="9"/>
      <color rgb="FF000000"/>
      <name val="Tahoma"/>
      <family val="2"/>
    </font>
    <font>
      <sz val="9"/>
      <color rgb="FF000000"/>
      <name val="Tahoma"/>
      <family val="2"/>
    </font>
    <font>
      <b/>
      <u/>
      <sz val="9"/>
      <color indexed="81"/>
      <name val="Tahoma"/>
      <family val="2"/>
    </font>
    <font>
      <b/>
      <sz val="9"/>
      <color indexed="81"/>
      <name val="Tahoma"/>
      <family val="2"/>
    </font>
    <font>
      <sz val="9"/>
      <color indexed="81"/>
      <name val="Tahoma"/>
      <family val="2"/>
    </font>
    <font>
      <sz val="11"/>
      <color rgb="FF000000"/>
      <name val="Calibri"/>
      <family val="2"/>
    </font>
    <font>
      <b/>
      <sz val="8"/>
      <color rgb="FF000000"/>
      <name val="Calibri"/>
      <family val="2"/>
    </font>
    <font>
      <b/>
      <sz val="7.5"/>
      <color rgb="FF000000"/>
      <name val="Calibri"/>
      <family val="2"/>
    </font>
    <font>
      <sz val="10"/>
      <color theme="1"/>
      <name val="Calibri"/>
      <family val="2"/>
    </font>
    <font>
      <sz val="12"/>
      <color rgb="FF000000"/>
      <name val="Calibri"/>
      <family val="2"/>
    </font>
    <font>
      <sz val="9"/>
      <color rgb="FF000000"/>
      <name val="Calibri"/>
      <family val="2"/>
    </font>
    <font>
      <b/>
      <sz val="10"/>
      <color theme="0"/>
      <name val="Calibri"/>
      <family val="2"/>
    </font>
    <font>
      <sz val="8"/>
      <name val="Calibri"/>
      <family val="2"/>
    </font>
    <font>
      <b/>
      <sz val="6"/>
      <color rgb="FF000000"/>
      <name val="Calibri"/>
      <family val="2"/>
    </font>
    <font>
      <b/>
      <sz val="14"/>
      <name val="Calibri"/>
      <family val="2"/>
    </font>
    <font>
      <sz val="10"/>
      <color theme="0"/>
      <name val="Calibri"/>
      <family val="2"/>
    </font>
    <font>
      <b/>
      <sz val="12"/>
      <name val="Calibri"/>
      <family val="2"/>
    </font>
    <font>
      <sz val="10"/>
      <name val="Calibri"/>
      <family val="2"/>
    </font>
    <font>
      <b/>
      <sz val="12"/>
      <color theme="1"/>
      <name val="Calibri"/>
      <family val="2"/>
    </font>
    <font>
      <sz val="8"/>
      <color rgb="FF000000"/>
      <name val="Calibri"/>
      <family val="2"/>
    </font>
    <font>
      <i/>
      <sz val="10"/>
      <color rgb="FF000000"/>
      <name val="Calibri"/>
      <family val="2"/>
    </font>
    <font>
      <sz val="12"/>
      <color rgb="FF7030A0"/>
      <name val="Calibri"/>
      <family val="2"/>
    </font>
    <font>
      <b/>
      <sz val="14"/>
      <color theme="0"/>
      <name val="Arial"/>
      <family val="2"/>
    </font>
    <font>
      <b/>
      <vertAlign val="superscript"/>
      <sz val="8"/>
      <color theme="1"/>
      <name val="Calibri"/>
      <family val="2"/>
    </font>
    <font>
      <b/>
      <vertAlign val="superscript"/>
      <sz val="8"/>
      <color rgb="FF000000"/>
      <name val="Calibri"/>
      <family val="2"/>
    </font>
    <font>
      <b/>
      <sz val="20"/>
      <color rgb="FFFF0000"/>
      <name val="Calibri"/>
      <family val="2"/>
    </font>
  </fonts>
  <fills count="25">
    <fill>
      <patternFill patternType="none"/>
    </fill>
    <fill>
      <patternFill patternType="gray125"/>
    </fill>
    <fill>
      <patternFill patternType="solid">
        <fgColor rgb="FFFFFFCC"/>
      </patternFill>
    </fill>
    <fill>
      <patternFill patternType="solid">
        <fgColor rgb="FFFFFFFF"/>
      </patternFill>
    </fill>
    <fill>
      <patternFill patternType="solid">
        <fgColor rgb="FFFAFAFA"/>
      </patternFill>
    </fill>
    <fill>
      <patternFill patternType="solid">
        <fgColor rgb="FF66B512"/>
      </patternFill>
    </fill>
    <fill>
      <patternFill patternType="solid">
        <fgColor rgb="FFDEE2E6"/>
      </patternFill>
    </fill>
    <fill>
      <patternFill patternType="solid">
        <fgColor rgb="FFFFFFCC"/>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DEBDFF"/>
        <bgColor indexed="64"/>
      </patternFill>
    </fill>
    <fill>
      <patternFill patternType="solid">
        <fgColor rgb="FFF5EBFF"/>
        <bgColor indexed="64"/>
      </patternFill>
    </fill>
    <fill>
      <patternFill patternType="solid">
        <fgColor theme="0" tint="-4.9989318521683403E-2"/>
        <bgColor indexed="64"/>
      </patternFill>
    </fill>
    <fill>
      <patternFill patternType="solid">
        <fgColor theme="1"/>
        <bgColor indexed="64"/>
      </patternFill>
    </fill>
    <fill>
      <patternFill patternType="solid">
        <fgColor theme="7"/>
        <bgColor indexed="64"/>
      </patternFill>
    </fill>
    <fill>
      <patternFill patternType="solid">
        <fgColor theme="9"/>
        <bgColor indexed="64"/>
      </patternFill>
    </fill>
    <fill>
      <patternFill patternType="solid">
        <fgColor rgb="FFF9F3FF"/>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AFAFA"/>
        <bgColor rgb="FF000000"/>
      </patternFill>
    </fill>
    <fill>
      <patternFill patternType="solid">
        <fgColor rgb="FFDEE2E6"/>
        <bgColor rgb="FF000000"/>
      </patternFill>
    </fill>
    <fill>
      <patternFill patternType="solid">
        <fgColor rgb="FFFFFFCC"/>
        <bgColor rgb="FF000000"/>
      </patternFill>
    </fill>
    <fill>
      <patternFill patternType="solid">
        <fgColor rgb="FF7E58AE"/>
        <bgColor indexed="64"/>
      </patternFill>
    </fill>
  </fills>
  <borders count="58">
    <border>
      <left/>
      <right/>
      <top/>
      <bottom/>
      <diagonal/>
    </border>
    <border>
      <left style="thin">
        <color rgb="FF777777"/>
      </left>
      <right style="thin">
        <color rgb="FF777777"/>
      </right>
      <top style="thin">
        <color rgb="FF777777"/>
      </top>
      <bottom style="thin">
        <color rgb="FF777777"/>
      </bottom>
      <diagonal/>
    </border>
    <border>
      <left/>
      <right/>
      <top/>
      <bottom style="thick">
        <color rgb="FF66B512"/>
      </bottom>
      <diagonal/>
    </border>
    <border>
      <left/>
      <right style="thin">
        <color rgb="FF777777"/>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77777"/>
      </left>
      <right style="thin">
        <color indexed="64"/>
      </right>
      <top style="thin">
        <color rgb="FF777777"/>
      </top>
      <bottom style="thin">
        <color rgb="FF777777"/>
      </bottom>
      <diagonal/>
    </border>
    <border>
      <left/>
      <right/>
      <top style="thin">
        <color rgb="FF777777"/>
      </top>
      <bottom style="thin">
        <color rgb="FF777777"/>
      </bottom>
      <diagonal/>
    </border>
    <border>
      <left/>
      <right style="thin">
        <color rgb="FF777777"/>
      </right>
      <top style="thin">
        <color rgb="FF777777"/>
      </top>
      <bottom style="thin">
        <color rgb="FF777777"/>
      </bottom>
      <diagonal/>
    </border>
    <border>
      <left style="thin">
        <color rgb="FF777777"/>
      </left>
      <right style="thin">
        <color rgb="FF777777"/>
      </right>
      <top style="thin">
        <color rgb="FF777777"/>
      </top>
      <bottom/>
      <diagonal/>
    </border>
    <border>
      <left/>
      <right/>
      <top style="thick">
        <color rgb="FF66B512"/>
      </top>
      <bottom/>
      <diagonal/>
    </border>
    <border>
      <left style="thin">
        <color rgb="FF777777"/>
      </left>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777777"/>
      </top>
      <bottom/>
      <diagonal/>
    </border>
    <border>
      <left/>
      <right/>
      <top style="thin">
        <color indexed="64"/>
      </top>
      <bottom style="thin">
        <color indexed="64"/>
      </bottom>
      <diagonal/>
    </border>
    <border>
      <left style="thin">
        <color rgb="FF777777"/>
      </left>
      <right/>
      <top style="thin">
        <color rgb="FF777777"/>
      </top>
      <bottom/>
      <diagonal/>
    </border>
    <border>
      <left/>
      <right style="thin">
        <color rgb="FF777777"/>
      </right>
      <top style="thin">
        <color rgb="FF777777"/>
      </top>
      <bottom/>
      <diagonal/>
    </border>
    <border>
      <left style="thin">
        <color rgb="FF777777"/>
      </left>
      <right/>
      <top/>
      <bottom/>
      <diagonal/>
    </border>
    <border>
      <left/>
      <right/>
      <top/>
      <bottom style="thin">
        <color rgb="FF777777"/>
      </bottom>
      <diagonal/>
    </border>
    <border>
      <left style="thin">
        <color rgb="FF777777"/>
      </left>
      <right style="thin">
        <color rgb="FF777777"/>
      </right>
      <top/>
      <bottom style="thin">
        <color rgb="FF777777"/>
      </bottom>
      <diagonal/>
    </border>
    <border>
      <left/>
      <right/>
      <top/>
      <bottom style="thin">
        <color indexed="64"/>
      </bottom>
      <diagonal/>
    </border>
    <border>
      <left style="thin">
        <color rgb="FF777777"/>
      </left>
      <right style="thin">
        <color rgb="FF777777"/>
      </right>
      <top/>
      <bottom/>
      <diagonal/>
    </border>
    <border>
      <left/>
      <right style="thin">
        <color indexed="64"/>
      </right>
      <top style="thin">
        <color indexed="64"/>
      </top>
      <bottom style="thin">
        <color indexed="64"/>
      </bottom>
      <diagonal/>
    </border>
    <border>
      <left/>
      <right/>
      <top/>
      <bottom style="medium">
        <color theme="4"/>
      </bottom>
      <diagonal/>
    </border>
    <border>
      <left/>
      <right/>
      <top style="medium">
        <color theme="4"/>
      </top>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ck">
        <color rgb="FF064121"/>
      </top>
      <bottom/>
      <diagonal/>
    </border>
    <border>
      <left style="thin">
        <color rgb="FF777777"/>
      </left>
      <right/>
      <top style="thin">
        <color rgb="FF777777"/>
      </top>
      <bottom style="thin">
        <color indexed="64"/>
      </bottom>
      <diagonal/>
    </border>
    <border>
      <left/>
      <right/>
      <top style="thin">
        <color rgb="FF777777"/>
      </top>
      <bottom style="thin">
        <color indexed="64"/>
      </bottom>
      <diagonal/>
    </border>
    <border>
      <left/>
      <right style="thin">
        <color rgb="FF777777"/>
      </right>
      <top style="thin">
        <color rgb="FF777777"/>
      </top>
      <bottom style="thin">
        <color indexed="64"/>
      </bottom>
      <diagonal/>
    </border>
    <border>
      <left style="thin">
        <color rgb="FF777777"/>
      </left>
      <right/>
      <top style="thin">
        <color indexed="64"/>
      </top>
      <bottom/>
      <diagonal/>
    </border>
    <border>
      <left/>
      <right style="thin">
        <color rgb="FF777777"/>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rgb="FF777777"/>
      </right>
      <top/>
      <bottom style="thin">
        <color rgb="FF777777"/>
      </bottom>
      <diagonal/>
    </border>
    <border>
      <left style="thin">
        <color rgb="FF777777"/>
      </left>
      <right style="thin">
        <color indexed="64"/>
      </right>
      <top/>
      <bottom style="thin">
        <color rgb="FF777777"/>
      </bottom>
      <diagonal/>
    </border>
    <border>
      <left style="thin">
        <color indexed="64"/>
      </left>
      <right style="thin">
        <color rgb="FF777777"/>
      </right>
      <top style="thin">
        <color rgb="FF777777"/>
      </top>
      <bottom style="thin">
        <color rgb="FF777777"/>
      </bottom>
      <diagonal/>
    </border>
    <border>
      <left style="thin">
        <color indexed="64"/>
      </left>
      <right style="thin">
        <color rgb="FF777777"/>
      </right>
      <top style="thin">
        <color rgb="FF777777"/>
      </top>
      <bottom style="thin">
        <color indexed="64"/>
      </bottom>
      <diagonal/>
    </border>
    <border>
      <left style="thin">
        <color rgb="FF777777"/>
      </left>
      <right style="thin">
        <color rgb="FF777777"/>
      </right>
      <top style="thin">
        <color rgb="FF777777"/>
      </top>
      <bottom style="thin">
        <color indexed="64"/>
      </bottom>
      <diagonal/>
    </border>
    <border>
      <left style="thin">
        <color rgb="FF777777"/>
      </left>
      <right style="thin">
        <color indexed="64"/>
      </right>
      <top style="thin">
        <color rgb="FF777777"/>
      </top>
      <bottom style="thin">
        <color indexed="64"/>
      </bottom>
      <diagonal/>
    </border>
    <border>
      <left style="thin">
        <color rgb="FF777777"/>
      </left>
      <right/>
      <top/>
      <bottom style="thin">
        <color rgb="FF7030A0"/>
      </bottom>
      <diagonal/>
    </border>
    <border>
      <left/>
      <right/>
      <top/>
      <bottom style="thin">
        <color rgb="FF7030A0"/>
      </bottom>
      <diagonal/>
    </border>
    <border>
      <left/>
      <right style="thin">
        <color rgb="FF777777"/>
      </right>
      <top/>
      <bottom style="thin">
        <color rgb="FF7030A0"/>
      </bottom>
      <diagonal/>
    </border>
  </borders>
  <cellStyleXfs count="6">
    <xf numFmtId="0" fontId="0" fillId="0" borderId="0" applyBorder="0"/>
    <xf numFmtId="9" fontId="1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76">
    <xf numFmtId="0" fontId="0" fillId="0" borderId="0" xfId="0"/>
    <xf numFmtId="0" fontId="3" fillId="3" borderId="0" xfId="0" applyFont="1" applyFill="1"/>
    <xf numFmtId="165" fontId="3" fillId="3" borderId="0" xfId="0" applyNumberFormat="1" applyFont="1" applyFill="1"/>
    <xf numFmtId="164" fontId="3" fillId="3" borderId="0" xfId="0" applyNumberFormat="1" applyFont="1" applyFill="1"/>
    <xf numFmtId="2" fontId="3" fillId="3" borderId="0" xfId="0" applyNumberFormat="1" applyFont="1" applyFill="1"/>
    <xf numFmtId="165" fontId="6" fillId="6" borderId="1" xfId="0" applyNumberFormat="1" applyFont="1" applyFill="1" applyBorder="1" applyAlignment="1">
      <alignment horizontal="center" vertical="center" wrapText="1"/>
    </xf>
    <xf numFmtId="0" fontId="3" fillId="4" borderId="1" xfId="0" applyFont="1" applyFill="1" applyBorder="1" applyAlignment="1">
      <alignment horizontal="center"/>
    </xf>
    <xf numFmtId="165" fontId="3" fillId="4" borderId="1" xfId="0" applyNumberFormat="1" applyFont="1" applyFill="1" applyBorder="1"/>
    <xf numFmtId="0" fontId="5" fillId="6" borderId="1" xfId="0" applyFont="1" applyFill="1" applyBorder="1" applyAlignment="1">
      <alignment horizontal="center" wrapText="1"/>
    </xf>
    <xf numFmtId="1" fontId="5" fillId="6" borderId="1" xfId="0" applyNumberFormat="1" applyFont="1" applyFill="1" applyBorder="1" applyAlignment="1">
      <alignment horizontal="center" wrapText="1"/>
    </xf>
    <xf numFmtId="164" fontId="5" fillId="6" borderId="1" xfId="0" applyNumberFormat="1" applyFont="1" applyFill="1" applyBorder="1" applyAlignment="1">
      <alignment horizontal="center" wrapText="1"/>
    </xf>
    <xf numFmtId="1" fontId="3" fillId="4" borderId="1" xfId="0" applyNumberFormat="1" applyFont="1" applyFill="1" applyBorder="1" applyAlignment="1">
      <alignment horizontal="center"/>
    </xf>
    <xf numFmtId="164" fontId="3" fillId="7" borderId="1" xfId="0" applyNumberFormat="1" applyFont="1" applyFill="1" applyBorder="1" applyAlignment="1" applyProtection="1">
      <alignment horizontal="center"/>
      <protection locked="0"/>
    </xf>
    <xf numFmtId="0" fontId="3" fillId="4" borderId="1" xfId="0" applyFont="1" applyFill="1" applyBorder="1" applyAlignment="1">
      <alignment horizontal="left" indent="1"/>
    </xf>
    <xf numFmtId="2" fontId="5" fillId="6" borderId="1" xfId="0" applyNumberFormat="1" applyFont="1" applyFill="1" applyBorder="1" applyAlignment="1">
      <alignment horizontal="center" wrapText="1"/>
    </xf>
    <xf numFmtId="0" fontId="3" fillId="4" borderId="1" xfId="0" applyFont="1" applyFill="1" applyBorder="1" applyAlignment="1">
      <alignment horizontal="left" indent="2"/>
    </xf>
    <xf numFmtId="0" fontId="3" fillId="6" borderId="1" xfId="0" applyFont="1" applyFill="1" applyBorder="1"/>
    <xf numFmtId="165" fontId="3" fillId="6" borderId="1" xfId="0" applyNumberFormat="1" applyFont="1" applyFill="1" applyBorder="1"/>
    <xf numFmtId="164" fontId="3" fillId="6" borderId="1" xfId="0" applyNumberFormat="1" applyFont="1" applyFill="1" applyBorder="1"/>
    <xf numFmtId="2" fontId="3" fillId="6" borderId="1" xfId="0" applyNumberFormat="1" applyFont="1" applyFill="1" applyBorder="1"/>
    <xf numFmtId="0" fontId="8" fillId="3" borderId="0" xfId="0" applyFont="1" applyFill="1" applyBorder="1"/>
    <xf numFmtId="0" fontId="7"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vertical="top"/>
    </xf>
    <xf numFmtId="164" fontId="3" fillId="3" borderId="0" xfId="0" applyNumberFormat="1" applyFont="1" applyFill="1" applyBorder="1"/>
    <xf numFmtId="165" fontId="3" fillId="3" borderId="9" xfId="0" applyNumberFormat="1" applyFont="1" applyFill="1" applyBorder="1"/>
    <xf numFmtId="165" fontId="3" fillId="6" borderId="9" xfId="0" applyNumberFormat="1" applyFont="1" applyFill="1" applyBorder="1"/>
    <xf numFmtId="165" fontId="3" fillId="3" borderId="0" xfId="0" applyNumberFormat="1" applyFont="1" applyFill="1" applyBorder="1"/>
    <xf numFmtId="0" fontId="3" fillId="3" borderId="0" xfId="0" applyFont="1" applyFill="1" applyBorder="1" applyAlignment="1">
      <alignment vertical="center" wrapText="1"/>
    </xf>
    <xf numFmtId="0" fontId="3" fillId="3" borderId="0" xfId="0" applyFont="1" applyFill="1" applyBorder="1" applyAlignment="1">
      <alignment vertical="top" wrapText="1"/>
    </xf>
    <xf numFmtId="10" fontId="6" fillId="6" borderId="1" xfId="0" applyNumberFormat="1" applyFont="1" applyFill="1" applyBorder="1" applyAlignment="1">
      <alignment horizontal="center" vertical="center" wrapText="1"/>
    </xf>
    <xf numFmtId="10" fontId="3" fillId="3" borderId="1" xfId="0" applyNumberFormat="1" applyFont="1" applyFill="1" applyBorder="1"/>
    <xf numFmtId="0" fontId="0" fillId="0" borderId="0" xfId="0" applyAlignment="1">
      <alignment horizontal="center"/>
    </xf>
    <xf numFmtId="0" fontId="3" fillId="3" borderId="0" xfId="0" applyFont="1" applyFill="1" applyBorder="1"/>
    <xf numFmtId="0" fontId="3" fillId="4" borderId="1" xfId="0" applyFont="1" applyFill="1" applyBorder="1" applyAlignment="1">
      <alignment horizontal="center" vertical="center"/>
    </xf>
    <xf numFmtId="165" fontId="19" fillId="4" borderId="1" xfId="0" applyNumberFormat="1" applyFont="1" applyFill="1" applyBorder="1"/>
    <xf numFmtId="10" fontId="3" fillId="0" borderId="9" xfId="0" applyNumberFormat="1" applyFont="1" applyBorder="1"/>
    <xf numFmtId="0" fontId="0" fillId="10" borderId="0" xfId="0" applyFill="1"/>
    <xf numFmtId="0" fontId="0" fillId="10" borderId="0" xfId="0" applyFill="1" applyAlignment="1">
      <alignment horizontal="center"/>
    </xf>
    <xf numFmtId="0" fontId="3" fillId="10" borderId="0" xfId="0" applyFont="1" applyFill="1"/>
    <xf numFmtId="1" fontId="3" fillId="10" borderId="0" xfId="0" applyNumberFormat="1" applyFont="1" applyFill="1"/>
    <xf numFmtId="165" fontId="3" fillId="6" borderId="1" xfId="0" applyNumberFormat="1" applyFont="1" applyFill="1" applyBorder="1" applyProtection="1">
      <protection hidden="1"/>
    </xf>
    <xf numFmtId="2" fontId="3" fillId="4" borderId="7" xfId="0" applyNumberFormat="1" applyFont="1" applyFill="1" applyBorder="1" applyAlignment="1" applyProtection="1">
      <alignment horizontal="center"/>
      <protection hidden="1"/>
    </xf>
    <xf numFmtId="0" fontId="4" fillId="3" borderId="0" xfId="0" applyFont="1" applyFill="1" applyBorder="1" applyAlignment="1">
      <alignment horizontal="center"/>
    </xf>
    <xf numFmtId="1" fontId="3" fillId="3" borderId="0" xfId="0" applyNumberFormat="1" applyFont="1" applyFill="1" applyAlignment="1">
      <alignment horizontal="right"/>
    </xf>
    <xf numFmtId="1" fontId="3" fillId="6" borderId="1" xfId="0" applyNumberFormat="1" applyFont="1" applyFill="1" applyBorder="1" applyAlignment="1" applyProtection="1">
      <alignment horizontal="right"/>
      <protection hidden="1"/>
    </xf>
    <xf numFmtId="0" fontId="8" fillId="3" borderId="0" xfId="0" applyFont="1" applyFill="1" applyBorder="1" applyAlignment="1">
      <alignment horizontal="left"/>
    </xf>
    <xf numFmtId="0" fontId="7" fillId="3" borderId="0" xfId="0" applyFont="1" applyFill="1" applyBorder="1" applyAlignment="1">
      <alignment vertical="center" wrapText="1"/>
    </xf>
    <xf numFmtId="10" fontId="5" fillId="5" borderId="1" xfId="0" applyNumberFormat="1" applyFont="1" applyFill="1" applyBorder="1"/>
    <xf numFmtId="165" fontId="5" fillId="5" borderId="1" xfId="0" applyNumberFormat="1" applyFont="1" applyFill="1" applyBorder="1"/>
    <xf numFmtId="0" fontId="8" fillId="3" borderId="25" xfId="0" applyFont="1" applyFill="1" applyBorder="1" applyAlignment="1">
      <alignment horizontal="left"/>
    </xf>
    <xf numFmtId="1" fontId="3" fillId="8" borderId="1" xfId="0" applyNumberFormat="1" applyFont="1" applyFill="1" applyBorder="1" applyAlignment="1" applyProtection="1">
      <alignment horizontal="center" vertical="center"/>
      <protection locked="0"/>
    </xf>
    <xf numFmtId="164" fontId="26" fillId="15" borderId="0" xfId="0" applyNumberFormat="1" applyFont="1" applyFill="1" applyAlignment="1">
      <alignment horizontal="center"/>
    </xf>
    <xf numFmtId="165" fontId="3" fillId="4" borderId="1" xfId="0" applyNumberFormat="1" applyFont="1" applyFill="1" applyBorder="1" applyAlignment="1">
      <alignment horizontal="center" vertical="center"/>
    </xf>
    <xf numFmtId="164" fontId="3" fillId="16" borderId="0" xfId="0" applyNumberFormat="1" applyFont="1" applyFill="1"/>
    <xf numFmtId="164" fontId="2" fillId="16" borderId="0" xfId="0" applyNumberFormat="1" applyFont="1" applyFill="1"/>
    <xf numFmtId="164" fontId="27" fillId="17" borderId="0" xfId="0" applyNumberFormat="1" applyFont="1" applyFill="1"/>
    <xf numFmtId="164" fontId="28" fillId="17" borderId="0" xfId="0" applyNumberFormat="1" applyFont="1" applyFill="1"/>
    <xf numFmtId="165" fontId="3" fillId="4" borderId="1" xfId="0" applyNumberFormat="1" applyFont="1" applyFill="1" applyBorder="1" applyAlignment="1" applyProtection="1">
      <alignment horizontal="center" vertical="center"/>
      <protection hidden="1"/>
    </xf>
    <xf numFmtId="168" fontId="3" fillId="10" borderId="1" xfId="0" applyNumberFormat="1" applyFont="1" applyFill="1" applyBorder="1" applyAlignment="1" applyProtection="1">
      <alignment horizontal="center" vertical="center"/>
      <protection hidden="1"/>
    </xf>
    <xf numFmtId="1" fontId="3" fillId="3" borderId="1" xfId="0" applyNumberFormat="1" applyFont="1" applyFill="1" applyBorder="1" applyAlignment="1">
      <alignment horizontal="center" vertical="center"/>
    </xf>
    <xf numFmtId="44" fontId="3" fillId="3" borderId="0" xfId="5" applyFont="1" applyFill="1" applyAlignment="1">
      <alignment horizontal="center" vertical="center"/>
    </xf>
    <xf numFmtId="164" fontId="3"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165" fontId="3" fillId="11" borderId="13" xfId="0" applyNumberFormat="1" applyFont="1" applyFill="1" applyBorder="1" applyAlignment="1" applyProtection="1">
      <alignment horizontal="center" vertical="center"/>
      <protection hidden="1"/>
    </xf>
    <xf numFmtId="165" fontId="3" fillId="3" borderId="13" xfId="0" applyNumberFormat="1" applyFont="1" applyFill="1" applyBorder="1" applyAlignment="1" applyProtection="1">
      <alignment horizontal="center" vertical="center"/>
      <protection hidden="1"/>
    </xf>
    <xf numFmtId="167" fontId="3" fillId="10" borderId="1" xfId="0" applyNumberFormat="1" applyFont="1" applyFill="1" applyBorder="1" applyAlignment="1" applyProtection="1">
      <alignment horizontal="center" vertical="center"/>
      <protection hidden="1"/>
    </xf>
    <xf numFmtId="164" fontId="3" fillId="3" borderId="0" xfId="0" applyNumberFormat="1" applyFont="1" applyFill="1" applyBorder="1" applyAlignment="1">
      <alignment vertical="top" wrapText="1"/>
    </xf>
    <xf numFmtId="164" fontId="27" fillId="12" borderId="0" xfId="0" applyNumberFormat="1" applyFont="1" applyFill="1"/>
    <xf numFmtId="164" fontId="28" fillId="12" borderId="0" xfId="0" applyNumberFormat="1" applyFont="1" applyFill="1"/>
    <xf numFmtId="0" fontId="21" fillId="3" borderId="15" xfId="0" applyFont="1" applyFill="1" applyBorder="1" applyAlignment="1">
      <alignment vertical="top" wrapText="1"/>
    </xf>
    <xf numFmtId="0" fontId="21" fillId="3" borderId="0" xfId="0" applyFont="1" applyFill="1" applyBorder="1" applyAlignment="1">
      <alignment vertical="top" wrapText="1"/>
    </xf>
    <xf numFmtId="0" fontId="3" fillId="3" borderId="13" xfId="0" applyFont="1" applyFill="1" applyBorder="1" applyAlignment="1">
      <alignment horizontal="left" vertical="center"/>
    </xf>
    <xf numFmtId="0" fontId="21" fillId="3" borderId="0" xfId="0" applyFont="1" applyFill="1" applyAlignment="1">
      <alignment vertical="top" wrapText="1"/>
    </xf>
    <xf numFmtId="1" fontId="3" fillId="13" borderId="1" xfId="0" applyNumberFormat="1" applyFont="1" applyFill="1" applyBorder="1" applyAlignment="1" applyProtection="1">
      <alignment horizontal="center" vertical="center"/>
      <protection locked="0"/>
    </xf>
    <xf numFmtId="164" fontId="3" fillId="13" borderId="1" xfId="0" applyNumberFormat="1" applyFont="1" applyFill="1" applyBorder="1" applyAlignment="1" applyProtection="1">
      <alignment horizontal="center" vertical="center"/>
      <protection locked="0"/>
    </xf>
    <xf numFmtId="2" fontId="3" fillId="13" borderId="1" xfId="0" applyNumberFormat="1" applyFont="1" applyFill="1" applyBorder="1" applyAlignment="1" applyProtection="1">
      <alignment horizontal="center" vertical="center"/>
      <protection locked="0"/>
    </xf>
    <xf numFmtId="165" fontId="6" fillId="6" borderId="14" xfId="0" applyNumberFormat="1" applyFont="1" applyFill="1" applyBorder="1" applyAlignment="1">
      <alignment horizontal="center" vertical="center" wrapText="1"/>
    </xf>
    <xf numFmtId="165" fontId="6" fillId="6" borderId="16" xfId="0" applyNumberFormat="1" applyFont="1" applyFill="1" applyBorder="1" applyAlignment="1">
      <alignment horizontal="center" vertical="center" wrapText="1"/>
    </xf>
    <xf numFmtId="10" fontId="6" fillId="6" borderId="16" xfId="0" applyNumberFormat="1" applyFont="1" applyFill="1" applyBorder="1" applyAlignment="1">
      <alignment horizontal="center" vertical="center" wrapText="1"/>
    </xf>
    <xf numFmtId="10" fontId="17" fillId="6" borderId="16" xfId="0" applyNumberFormat="1" applyFont="1" applyFill="1" applyBorder="1" applyAlignment="1">
      <alignment horizontal="center" vertical="center" wrapText="1"/>
    </xf>
    <xf numFmtId="10" fontId="18" fillId="6" borderId="24" xfId="0" applyNumberFormat="1" applyFont="1" applyFill="1" applyBorder="1" applyAlignment="1">
      <alignment horizontal="center" vertical="center" wrapText="1"/>
    </xf>
    <xf numFmtId="0" fontId="3" fillId="4" borderId="33"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4" borderId="33" xfId="0" applyFont="1" applyFill="1" applyBorder="1" applyAlignment="1" applyProtection="1">
      <alignment vertical="center" wrapText="1"/>
      <protection locked="0"/>
    </xf>
    <xf numFmtId="0" fontId="3" fillId="4" borderId="29" xfId="0" applyFont="1" applyFill="1" applyBorder="1" applyAlignment="1" applyProtection="1">
      <alignment vertical="center" wrapText="1"/>
      <protection locked="0"/>
    </xf>
    <xf numFmtId="0" fontId="3" fillId="4" borderId="30"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4" borderId="29" xfId="0" applyFont="1" applyFill="1" applyBorder="1" applyAlignment="1" applyProtection="1">
      <alignment horizontal="center" vertical="center" wrapText="1"/>
      <protection locked="0"/>
    </xf>
    <xf numFmtId="1" fontId="3" fillId="3" borderId="0" xfId="0" applyNumberFormat="1" applyFont="1" applyFill="1" applyAlignment="1">
      <alignment horizontal="center" wrapText="1"/>
    </xf>
    <xf numFmtId="169" fontId="3" fillId="3" borderId="13" xfId="0" applyNumberFormat="1" applyFont="1" applyFill="1" applyBorder="1" applyAlignment="1">
      <alignment horizontal="center" vertical="center"/>
    </xf>
    <xf numFmtId="10" fontId="3" fillId="3" borderId="13" xfId="1" applyNumberFormat="1" applyFont="1" applyFill="1" applyBorder="1" applyAlignment="1">
      <alignment horizontal="center" vertical="center"/>
    </xf>
    <xf numFmtId="10" fontId="3" fillId="3" borderId="13" xfId="0" applyNumberFormat="1" applyFont="1" applyFill="1" applyBorder="1" applyAlignment="1">
      <alignment horizontal="center" vertical="center"/>
    </xf>
    <xf numFmtId="1" fontId="30" fillId="3" borderId="0" xfId="0" applyNumberFormat="1" applyFont="1" applyFill="1" applyAlignment="1">
      <alignment horizontal="left" vertical="top"/>
    </xf>
    <xf numFmtId="0" fontId="3" fillId="4" borderId="1" xfId="0" applyFont="1" applyFill="1" applyBorder="1" applyAlignment="1">
      <alignment horizontal="left" vertical="center" indent="1"/>
    </xf>
    <xf numFmtId="0" fontId="3" fillId="0" borderId="1" xfId="0" applyFont="1" applyBorder="1" applyAlignment="1">
      <alignment horizontal="left" vertical="center" indent="1"/>
    </xf>
    <xf numFmtId="2" fontId="3" fillId="10" borderId="1" xfId="0" applyNumberFormat="1" applyFont="1" applyFill="1" applyBorder="1" applyAlignment="1" applyProtection="1">
      <alignment horizontal="center" vertical="center"/>
      <protection hidden="1"/>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9" fontId="6" fillId="6" borderId="1" xfId="1" applyFont="1" applyFill="1" applyBorder="1" applyAlignment="1">
      <alignment horizontal="center" vertical="center" wrapText="1"/>
    </xf>
    <xf numFmtId="165" fontId="3" fillId="6" borderId="1" xfId="0" applyNumberFormat="1" applyFont="1" applyFill="1" applyBorder="1" applyAlignment="1" applyProtection="1">
      <alignment horizontal="center"/>
      <protection hidden="1"/>
    </xf>
    <xf numFmtId="0" fontId="3" fillId="11" borderId="14" xfId="0" applyFont="1" applyFill="1" applyBorder="1" applyAlignment="1">
      <alignment vertical="center"/>
    </xf>
    <xf numFmtId="0" fontId="3" fillId="11" borderId="16" xfId="0" applyFont="1" applyFill="1" applyBorder="1" applyAlignment="1">
      <alignment vertical="center"/>
    </xf>
    <xf numFmtId="0" fontId="3" fillId="11" borderId="24" xfId="0" applyFont="1" applyFill="1" applyBorder="1" applyAlignment="1">
      <alignment vertical="center"/>
    </xf>
    <xf numFmtId="0" fontId="3" fillId="3" borderId="14" xfId="0" applyFont="1" applyFill="1" applyBorder="1" applyAlignment="1">
      <alignment vertical="center"/>
    </xf>
    <xf numFmtId="0" fontId="3" fillId="3" borderId="24" xfId="0" applyFont="1" applyFill="1" applyBorder="1" applyAlignment="1">
      <alignment vertical="center"/>
    </xf>
    <xf numFmtId="1" fontId="3" fillId="10" borderId="1" xfId="0" applyNumberFormat="1" applyFont="1" applyFill="1" applyBorder="1" applyAlignment="1" applyProtection="1">
      <alignment horizontal="center" vertical="center"/>
      <protection locked="0"/>
    </xf>
    <xf numFmtId="0" fontId="22" fillId="10" borderId="20" xfId="0" applyFont="1" applyFill="1" applyBorder="1"/>
    <xf numFmtId="0" fontId="6" fillId="10" borderId="0" xfId="0" applyFont="1" applyFill="1" applyBorder="1"/>
    <xf numFmtId="0" fontId="6" fillId="10" borderId="0" xfId="0" applyFont="1" applyFill="1" applyBorder="1" applyAlignment="1">
      <alignment horizontal="center"/>
    </xf>
    <xf numFmtId="165" fontId="7" fillId="3" borderId="0" xfId="0" applyNumberFormat="1" applyFont="1" applyFill="1"/>
    <xf numFmtId="164" fontId="3" fillId="4" borderId="12" xfId="0" applyNumberFormat="1" applyFont="1" applyFill="1" applyBorder="1" applyAlignment="1">
      <alignment horizontal="center" vertical="center"/>
    </xf>
    <xf numFmtId="1" fontId="3" fillId="8" borderId="10" xfId="0" applyNumberFormat="1" applyFont="1" applyFill="1" applyBorder="1" applyAlignment="1" applyProtection="1">
      <alignment horizontal="center" vertical="center"/>
      <protection locked="0"/>
    </xf>
    <xf numFmtId="44" fontId="3" fillId="3" borderId="13" xfId="5" applyFont="1" applyFill="1" applyBorder="1" applyAlignment="1">
      <alignment horizontal="center" vertical="center"/>
    </xf>
    <xf numFmtId="164" fontId="3" fillId="9" borderId="1" xfId="0" applyNumberFormat="1" applyFont="1" applyFill="1" applyBorder="1" applyAlignment="1">
      <alignment horizontal="center"/>
    </xf>
    <xf numFmtId="166" fontId="3" fillId="4" borderId="1" xfId="0" applyNumberFormat="1" applyFont="1" applyFill="1" applyBorder="1" applyAlignment="1">
      <alignment horizontal="center" vertical="center"/>
    </xf>
    <xf numFmtId="165" fontId="3" fillId="6" borderId="1" xfId="0" applyNumberFormat="1" applyFont="1" applyFill="1" applyBorder="1" applyAlignment="1">
      <alignment horizontal="center"/>
    </xf>
    <xf numFmtId="9" fontId="3" fillId="11" borderId="13" xfId="1" applyFont="1" applyFill="1" applyBorder="1" applyAlignment="1" applyProtection="1">
      <alignment horizontal="center" vertical="center"/>
      <protection hidden="1"/>
    </xf>
    <xf numFmtId="0" fontId="3" fillId="4" borderId="0" xfId="0" applyFont="1" applyFill="1" applyBorder="1" applyAlignment="1">
      <alignment horizontal="left" vertical="center" indent="1"/>
    </xf>
    <xf numFmtId="0" fontId="3" fillId="4" borderId="0" xfId="0" applyFont="1" applyFill="1" applyBorder="1"/>
    <xf numFmtId="1" fontId="3" fillId="10" borderId="0" xfId="0" applyNumberFormat="1" applyFont="1" applyFill="1" applyBorder="1" applyAlignment="1" applyProtection="1">
      <alignment horizontal="center" vertical="center"/>
      <protection locked="0"/>
    </xf>
    <xf numFmtId="165" fontId="19" fillId="4" borderId="0" xfId="0" applyNumberFormat="1" applyFont="1" applyFill="1" applyBorder="1"/>
    <xf numFmtId="165" fontId="3" fillId="4" borderId="0" xfId="0" applyNumberFormat="1" applyFont="1" applyFill="1" applyBorder="1"/>
    <xf numFmtId="0" fontId="3" fillId="3" borderId="12"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left"/>
    </xf>
    <xf numFmtId="9" fontId="3" fillId="3" borderId="9" xfId="1" applyFont="1" applyFill="1" applyBorder="1"/>
    <xf numFmtId="170" fontId="3" fillId="3" borderId="13" xfId="1" applyNumberFormat="1" applyFont="1" applyFill="1" applyBorder="1" applyAlignment="1" applyProtection="1">
      <alignment horizontal="center" vertical="center"/>
      <protection hidden="1"/>
    </xf>
    <xf numFmtId="10" fontId="3" fillId="3" borderId="13" xfId="1" applyNumberFormat="1" applyFont="1" applyFill="1" applyBorder="1" applyAlignment="1" applyProtection="1">
      <alignment horizontal="center" vertical="center"/>
      <protection hidden="1"/>
    </xf>
    <xf numFmtId="170" fontId="3" fillId="3" borderId="9" xfId="0" applyNumberFormat="1" applyFont="1" applyFill="1" applyBorder="1"/>
    <xf numFmtId="166" fontId="3" fillId="0" borderId="9" xfId="5" applyNumberFormat="1" applyFont="1" applyBorder="1"/>
    <xf numFmtId="0" fontId="25" fillId="3" borderId="34" xfId="0" applyFont="1" applyFill="1" applyBorder="1" applyAlignment="1">
      <alignment vertical="center" wrapText="1"/>
    </xf>
    <xf numFmtId="165" fontId="6" fillId="6" borderId="4" xfId="0" applyNumberFormat="1" applyFont="1" applyFill="1" applyBorder="1" applyAlignment="1">
      <alignment horizontal="center" vertical="center" wrapText="1"/>
    </xf>
    <xf numFmtId="165" fontId="6" fillId="6" borderId="5" xfId="0" applyNumberFormat="1" applyFont="1" applyFill="1" applyBorder="1" applyAlignment="1">
      <alignment horizontal="center" vertical="center" wrapText="1"/>
    </xf>
    <xf numFmtId="10" fontId="6" fillId="6" borderId="5" xfId="0" applyNumberFormat="1" applyFont="1" applyFill="1" applyBorder="1" applyAlignment="1">
      <alignment horizontal="center" vertical="center" wrapText="1"/>
    </xf>
    <xf numFmtId="10" fontId="6" fillId="6" borderId="6" xfId="0" applyNumberFormat="1" applyFont="1" applyFill="1" applyBorder="1" applyAlignment="1">
      <alignment horizontal="center" vertical="center" wrapText="1"/>
    </xf>
    <xf numFmtId="165" fontId="3" fillId="3" borderId="43" xfId="0" applyNumberFormat="1" applyFont="1" applyFill="1" applyBorder="1" applyAlignment="1">
      <alignment horizontal="center" vertical="center"/>
    </xf>
    <xf numFmtId="1" fontId="3" fillId="3" borderId="44" xfId="0" applyNumberFormat="1" applyFont="1" applyFill="1" applyBorder="1" applyAlignment="1">
      <alignment horizontal="center" vertical="center"/>
    </xf>
    <xf numFmtId="169" fontId="3" fillId="3" borderId="45" xfId="0" applyNumberFormat="1" applyFont="1" applyFill="1" applyBorder="1" applyAlignment="1">
      <alignment horizontal="center" vertical="center"/>
    </xf>
    <xf numFmtId="165" fontId="3" fillId="3" borderId="47" xfId="0" applyNumberFormat="1" applyFont="1" applyFill="1" applyBorder="1" applyAlignment="1">
      <alignment horizontal="center" vertical="center"/>
    </xf>
    <xf numFmtId="1" fontId="3" fillId="3" borderId="47" xfId="0" applyNumberFormat="1" applyFont="1" applyFill="1" applyBorder="1" applyAlignment="1">
      <alignment horizontal="center" vertical="center"/>
    </xf>
    <xf numFmtId="169" fontId="3" fillId="3" borderId="48" xfId="0" applyNumberFormat="1" applyFont="1" applyFill="1" applyBorder="1" applyAlignment="1">
      <alignment horizontal="center" vertical="center"/>
    </xf>
    <xf numFmtId="165" fontId="3" fillId="3" borderId="44" xfId="0" applyNumberFormat="1" applyFont="1" applyFill="1" applyBorder="1" applyAlignment="1">
      <alignment horizontal="center" vertical="center"/>
    </xf>
    <xf numFmtId="165" fontId="3" fillId="3" borderId="45" xfId="0" applyNumberFormat="1" applyFont="1" applyFill="1" applyBorder="1"/>
    <xf numFmtId="0" fontId="5" fillId="22" borderId="21" xfId="0" applyFont="1" applyFill="1" applyBorder="1" applyAlignment="1">
      <alignment horizontal="center" wrapText="1"/>
    </xf>
    <xf numFmtId="0" fontId="3" fillId="21" borderId="1" xfId="0" applyFont="1" applyFill="1" applyBorder="1" applyAlignment="1">
      <alignment horizontal="center"/>
    </xf>
    <xf numFmtId="0" fontId="3" fillId="23" borderId="1" xfId="0" applyFont="1" applyFill="1" applyBorder="1" applyAlignment="1">
      <alignment horizontal="center"/>
    </xf>
    <xf numFmtId="0" fontId="5" fillId="22" borderId="49" xfId="0" applyFont="1" applyFill="1" applyBorder="1" applyAlignment="1">
      <alignment horizontal="center" wrapText="1"/>
    </xf>
    <xf numFmtId="0" fontId="5" fillId="22" borderId="50" xfId="0" applyFont="1" applyFill="1" applyBorder="1" applyAlignment="1">
      <alignment horizontal="center" wrapText="1"/>
    </xf>
    <xf numFmtId="0" fontId="3" fillId="21" borderId="51" xfId="0" applyFont="1" applyFill="1" applyBorder="1" applyAlignment="1">
      <alignment horizontal="center"/>
    </xf>
    <xf numFmtId="0" fontId="3" fillId="21" borderId="7" xfId="0" applyFont="1" applyFill="1" applyBorder="1" applyAlignment="1">
      <alignment horizontal="center"/>
    </xf>
    <xf numFmtId="0" fontId="3" fillId="21" borderId="52" xfId="0" applyFont="1" applyFill="1" applyBorder="1" applyAlignment="1">
      <alignment horizontal="center"/>
    </xf>
    <xf numFmtId="0" fontId="3" fillId="21" borderId="53" xfId="0" applyFont="1" applyFill="1" applyBorder="1" applyAlignment="1">
      <alignment horizontal="center"/>
    </xf>
    <xf numFmtId="0" fontId="3" fillId="23" borderId="53" xfId="0" applyFont="1" applyFill="1" applyBorder="1" applyAlignment="1">
      <alignment horizontal="center"/>
    </xf>
    <xf numFmtId="0" fontId="3" fillId="21" borderId="54" xfId="0" applyFont="1" applyFill="1" applyBorder="1" applyAlignment="1">
      <alignment horizontal="center"/>
    </xf>
    <xf numFmtId="165" fontId="3" fillId="24" borderId="0" xfId="0" applyNumberFormat="1" applyFont="1" applyFill="1"/>
    <xf numFmtId="164" fontId="3" fillId="24" borderId="0" xfId="0" applyNumberFormat="1" applyFont="1" applyFill="1"/>
    <xf numFmtId="2" fontId="3" fillId="24" borderId="0" xfId="0" applyNumberFormat="1" applyFont="1" applyFill="1"/>
    <xf numFmtId="0" fontId="3" fillId="21" borderId="40" xfId="0" applyFont="1" applyFill="1" applyBorder="1"/>
    <xf numFmtId="0" fontId="3" fillId="21" borderId="22" xfId="0" applyFont="1" applyFill="1" applyBorder="1"/>
    <xf numFmtId="0" fontId="3" fillId="21" borderId="41" xfId="0" applyFont="1" applyFill="1" applyBorder="1"/>
    <xf numFmtId="0" fontId="3" fillId="4" borderId="21" xfId="0" applyFont="1" applyFill="1" applyBorder="1"/>
    <xf numFmtId="1" fontId="3" fillId="4" borderId="21" xfId="0" applyNumberFormat="1" applyFont="1" applyFill="1" applyBorder="1"/>
    <xf numFmtId="164" fontId="3" fillId="4" borderId="21" xfId="0" applyNumberFormat="1" applyFont="1" applyFill="1" applyBorder="1"/>
    <xf numFmtId="2" fontId="3" fillId="4" borderId="21" xfId="0" applyNumberFormat="1" applyFont="1" applyFill="1" applyBorder="1"/>
    <xf numFmtId="165" fontId="3" fillId="10" borderId="1" xfId="0" applyNumberFormat="1" applyFont="1" applyFill="1" applyBorder="1" applyAlignment="1" applyProtection="1">
      <alignment horizontal="center" vertical="center"/>
      <protection hidden="1"/>
    </xf>
    <xf numFmtId="0" fontId="31" fillId="3" borderId="5" xfId="0" applyFont="1" applyFill="1" applyBorder="1" applyAlignment="1">
      <alignment horizontal="left" vertical="center"/>
    </xf>
    <xf numFmtId="165" fontId="5" fillId="6"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165" fontId="3" fillId="3" borderId="42" xfId="0" applyNumberFormat="1" applyFont="1" applyFill="1" applyBorder="1" applyAlignment="1">
      <alignment horizontal="center" vertical="center"/>
    </xf>
    <xf numFmtId="165" fontId="3" fillId="3" borderId="46" xfId="0" applyNumberFormat="1" applyFont="1" applyFill="1" applyBorder="1" applyAlignment="1">
      <alignment horizontal="center" vertical="center"/>
    </xf>
    <xf numFmtId="0" fontId="3" fillId="18" borderId="29" xfId="0" applyFont="1" applyFill="1" applyBorder="1" applyAlignment="1" applyProtection="1">
      <alignment horizontal="center" vertical="center" wrapText="1"/>
      <protection locked="0"/>
    </xf>
    <xf numFmtId="0" fontId="3" fillId="18" borderId="27" xfId="0" applyFont="1" applyFill="1" applyBorder="1" applyAlignment="1" applyProtection="1">
      <alignment horizontal="center" vertical="center" wrapText="1"/>
      <protection locked="0"/>
    </xf>
    <xf numFmtId="0" fontId="3" fillId="18" borderId="30" xfId="0" applyFont="1" applyFill="1" applyBorder="1" applyAlignment="1" applyProtection="1">
      <alignment horizontal="center" vertical="center" wrapText="1"/>
      <protection locked="0"/>
    </xf>
    <xf numFmtId="0" fontId="3" fillId="18" borderId="28" xfId="0" applyFont="1" applyFill="1" applyBorder="1" applyAlignment="1" applyProtection="1">
      <alignment horizontal="center" vertical="center" wrapText="1"/>
      <protection locked="0"/>
    </xf>
    <xf numFmtId="14" fontId="3" fillId="18" borderId="14" xfId="0" applyNumberFormat="1" applyFont="1" applyFill="1" applyBorder="1" applyAlignment="1" applyProtection="1">
      <alignment horizontal="center" vertical="center" wrapText="1"/>
      <protection locked="0"/>
    </xf>
    <xf numFmtId="14" fontId="3" fillId="18" borderId="24" xfId="0" applyNumberFormat="1" applyFont="1" applyFill="1" applyBorder="1" applyAlignment="1" applyProtection="1">
      <alignment horizontal="center" vertical="center" wrapText="1"/>
      <protection locked="0"/>
    </xf>
    <xf numFmtId="0" fontId="3" fillId="18" borderId="14" xfId="0" applyFont="1" applyFill="1" applyBorder="1" applyAlignment="1" applyProtection="1">
      <alignment horizontal="center" vertical="center" wrapText="1"/>
      <protection locked="0"/>
    </xf>
    <xf numFmtId="0" fontId="3" fillId="18" borderId="24" xfId="0" applyFont="1" applyFill="1" applyBorder="1" applyAlignment="1" applyProtection="1">
      <alignment horizontal="center" vertical="center" wrapText="1"/>
      <protection locked="0"/>
    </xf>
    <xf numFmtId="0" fontId="21" fillId="3" borderId="0" xfId="0" applyFont="1" applyFill="1" applyAlignment="1">
      <alignment horizontal="left" vertical="top" wrapText="1"/>
    </xf>
    <xf numFmtId="0" fontId="3" fillId="11" borderId="14" xfId="0" applyFont="1" applyFill="1" applyBorder="1" applyAlignment="1">
      <alignment horizontal="left" vertical="center"/>
    </xf>
    <xf numFmtId="0" fontId="3" fillId="11" borderId="16" xfId="0" applyFont="1" applyFill="1" applyBorder="1" applyAlignment="1">
      <alignment horizontal="left" vertical="center"/>
    </xf>
    <xf numFmtId="0" fontId="3" fillId="11" borderId="24" xfId="0" applyFont="1" applyFill="1" applyBorder="1" applyAlignment="1">
      <alignment horizontal="left" vertical="center"/>
    </xf>
    <xf numFmtId="0" fontId="3" fillId="3" borderId="14" xfId="0" applyFont="1" applyFill="1" applyBorder="1" applyAlignment="1">
      <alignment horizontal="left" vertical="center"/>
    </xf>
    <xf numFmtId="0" fontId="3" fillId="3" borderId="16" xfId="0" applyFont="1" applyFill="1" applyBorder="1" applyAlignment="1">
      <alignment horizontal="left" vertical="center"/>
    </xf>
    <xf numFmtId="0" fontId="3" fillId="3" borderId="24" xfId="0" applyFont="1" applyFill="1" applyBorder="1" applyAlignment="1">
      <alignment horizontal="left" vertical="center"/>
    </xf>
    <xf numFmtId="0" fontId="21" fillId="3" borderId="0" xfId="0" applyFont="1" applyFill="1" applyBorder="1" applyAlignment="1">
      <alignment horizontal="left" vertical="top" wrapText="1"/>
    </xf>
    <xf numFmtId="0" fontId="3" fillId="10" borderId="14"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24" xfId="0" applyFont="1" applyFill="1" applyBorder="1" applyAlignment="1">
      <alignment horizontal="left" vertical="center"/>
    </xf>
    <xf numFmtId="164" fontId="5" fillId="6"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65" fontId="5" fillId="6" borderId="10" xfId="0" applyNumberFormat="1" applyFont="1" applyFill="1" applyBorder="1" applyAlignment="1">
      <alignment horizontal="center" vertical="center" wrapText="1"/>
    </xf>
    <xf numFmtId="165" fontId="5" fillId="6" borderId="23" xfId="0" applyNumberFormat="1" applyFont="1" applyFill="1" applyBorder="1" applyAlignment="1">
      <alignment horizontal="center" vertical="center" wrapText="1"/>
    </xf>
    <xf numFmtId="165" fontId="5" fillId="6" borderId="2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0" fillId="20" borderId="38" xfId="0" applyFont="1" applyFill="1" applyBorder="1" applyAlignment="1" applyProtection="1">
      <alignment horizontal="center" vertical="center" wrapText="1"/>
      <protection hidden="1"/>
    </xf>
    <xf numFmtId="0" fontId="10" fillId="20" borderId="5" xfId="0" applyFont="1" applyFill="1" applyBorder="1" applyAlignment="1" applyProtection="1">
      <alignment horizontal="center" vertical="center" wrapText="1"/>
      <protection hidden="1"/>
    </xf>
    <xf numFmtId="0" fontId="10" fillId="20" borderId="39" xfId="0" applyFont="1" applyFill="1" applyBorder="1" applyAlignment="1" applyProtection="1">
      <alignment horizontal="center" vertical="center" wrapText="1"/>
      <protection hidden="1"/>
    </xf>
    <xf numFmtId="164" fontId="5" fillId="14" borderId="1" xfId="0" applyNumberFormat="1" applyFont="1" applyFill="1" applyBorder="1" applyAlignment="1">
      <alignment horizontal="center" vertical="center" wrapText="1"/>
    </xf>
    <xf numFmtId="164" fontId="6" fillId="14"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wrapText="1"/>
    </xf>
    <xf numFmtId="2" fontId="5" fillId="14" borderId="1" xfId="0" applyNumberFormat="1" applyFont="1" applyFill="1" applyBorder="1" applyAlignment="1">
      <alignment horizontal="center" vertical="center" wrapText="1"/>
    </xf>
    <xf numFmtId="2" fontId="6" fillId="14" borderId="1" xfId="0" applyNumberFormat="1" applyFont="1" applyFill="1" applyBorder="1" applyAlignment="1">
      <alignment horizontal="center" vertical="center" wrapTex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24" xfId="0" applyFont="1" applyBorder="1" applyAlignment="1">
      <alignment horizontal="left" vertical="center"/>
    </xf>
    <xf numFmtId="0" fontId="33" fillId="24" borderId="0" xfId="0" applyFont="1" applyFill="1" applyAlignment="1">
      <alignment horizontal="left" vertical="center" wrapText="1"/>
    </xf>
    <xf numFmtId="0" fontId="3" fillId="3" borderId="26" xfId="0" applyFont="1" applyFill="1" applyBorder="1" applyAlignment="1">
      <alignment horizontal="left" vertical="center" wrapText="1"/>
    </xf>
    <xf numFmtId="0" fontId="36" fillId="3" borderId="20" xfId="0" applyFont="1" applyFill="1" applyBorder="1" applyAlignment="1">
      <alignment horizontal="center" vertical="center"/>
    </xf>
    <xf numFmtId="165" fontId="29" fillId="10" borderId="22" xfId="0" applyNumberFormat="1" applyFont="1" applyFill="1" applyBorder="1" applyAlignment="1">
      <alignment horizontal="center" vertical="center"/>
    </xf>
    <xf numFmtId="0" fontId="21" fillId="19" borderId="4" xfId="0" applyFont="1" applyFill="1" applyBorder="1" applyAlignment="1">
      <alignment horizontal="center" vertical="center" wrapText="1"/>
    </xf>
    <xf numFmtId="0" fontId="21" fillId="19" borderId="5" xfId="0" applyFont="1" applyFill="1" applyBorder="1" applyAlignment="1">
      <alignment horizontal="center" vertical="center" wrapText="1"/>
    </xf>
    <xf numFmtId="0" fontId="21" fillId="19" borderId="6" xfId="0" applyFont="1" applyFill="1" applyBorder="1" applyAlignment="1">
      <alignment horizontal="center" vertical="center" wrapText="1"/>
    </xf>
    <xf numFmtId="0" fontId="21" fillId="19" borderId="40" xfId="0" applyFont="1" applyFill="1" applyBorder="1" applyAlignment="1">
      <alignment horizontal="center" vertical="center" wrapText="1"/>
    </xf>
    <xf numFmtId="0" fontId="21" fillId="19" borderId="22" xfId="0" applyFont="1" applyFill="1" applyBorder="1" applyAlignment="1">
      <alignment horizontal="center" vertical="center" wrapText="1"/>
    </xf>
    <xf numFmtId="0" fontId="21" fillId="19" borderId="41" xfId="0" applyFont="1" applyFill="1" applyBorder="1" applyAlignment="1">
      <alignment horizontal="center" vertical="center" wrapText="1"/>
    </xf>
    <xf numFmtId="1" fontId="3" fillId="19" borderId="10" xfId="0" applyNumberFormat="1" applyFont="1" applyFill="1" applyBorder="1" applyAlignment="1" applyProtection="1">
      <alignment horizontal="center" vertical="center" wrapText="1"/>
      <protection locked="0"/>
    </xf>
    <xf numFmtId="1" fontId="3" fillId="19" borderId="23" xfId="0" applyNumberFormat="1" applyFont="1" applyFill="1" applyBorder="1" applyAlignment="1" applyProtection="1">
      <alignment horizontal="center" vertical="center" wrapText="1"/>
      <protection locked="0"/>
    </xf>
    <xf numFmtId="1" fontId="3" fillId="19" borderId="21" xfId="0" applyNumberFormat="1" applyFont="1" applyFill="1" applyBorder="1" applyAlignment="1" applyProtection="1">
      <alignment horizontal="center" vertical="center" wrapText="1"/>
      <protection locked="0"/>
    </xf>
    <xf numFmtId="0" fontId="3" fillId="18" borderId="33" xfId="0" applyFont="1" applyFill="1" applyBorder="1" applyAlignment="1" applyProtection="1">
      <alignment horizontal="center" vertical="center" wrapText="1"/>
      <protection locked="0"/>
    </xf>
    <xf numFmtId="0" fontId="3" fillId="18" borderId="32" xfId="0" applyFont="1" applyFill="1" applyBorder="1" applyAlignment="1" applyProtection="1">
      <alignment horizontal="center" vertical="center" wrapText="1"/>
      <protection locked="0"/>
    </xf>
    <xf numFmtId="165" fontId="29" fillId="10" borderId="0" xfId="0" applyNumberFormat="1" applyFont="1" applyFill="1" applyBorder="1" applyAlignment="1">
      <alignment horizontal="center" vertical="center"/>
    </xf>
    <xf numFmtId="1" fontId="32" fillId="13" borderId="35" xfId="0" applyNumberFormat="1" applyFont="1" applyFill="1" applyBorder="1" applyAlignment="1" applyProtection="1">
      <alignment horizontal="left" vertical="center" indent="1"/>
      <protection locked="0"/>
    </xf>
    <xf numFmtId="1" fontId="32" fillId="13" borderId="36" xfId="0" applyNumberFormat="1" applyFont="1" applyFill="1" applyBorder="1" applyAlignment="1" applyProtection="1">
      <alignment horizontal="left" vertical="center" indent="1"/>
      <protection locked="0"/>
    </xf>
    <xf numFmtId="1" fontId="32" fillId="13" borderId="37" xfId="0" applyNumberFormat="1" applyFont="1" applyFill="1" applyBorder="1" applyAlignment="1" applyProtection="1">
      <alignment horizontal="left" vertical="center" indent="1"/>
      <protection locked="0"/>
    </xf>
    <xf numFmtId="0" fontId="25" fillId="3" borderId="0" xfId="0" applyFont="1" applyFill="1" applyBorder="1" applyAlignment="1">
      <alignment horizontal="center" vertical="center" wrapText="1"/>
    </xf>
    <xf numFmtId="0" fontId="3" fillId="6" borderId="12" xfId="0" applyFont="1" applyFill="1" applyBorder="1" applyAlignment="1">
      <alignment horizontal="left"/>
    </xf>
    <xf numFmtId="0" fontId="3" fillId="6" borderId="8" xfId="0" applyFont="1" applyFill="1" applyBorder="1" applyAlignment="1">
      <alignment horizontal="left"/>
    </xf>
    <xf numFmtId="0" fontId="3" fillId="6" borderId="9" xfId="0" applyFont="1" applyFill="1" applyBorder="1" applyAlignment="1">
      <alignment horizontal="left"/>
    </xf>
    <xf numFmtId="0" fontId="10" fillId="20" borderId="17" xfId="0" applyFont="1" applyFill="1" applyBorder="1" applyAlignment="1">
      <alignment horizontal="left" vertical="center"/>
    </xf>
    <xf numFmtId="0" fontId="10" fillId="20" borderId="15" xfId="0" applyFont="1" applyFill="1" applyBorder="1" applyAlignment="1">
      <alignment horizontal="left" vertical="center"/>
    </xf>
    <xf numFmtId="0" fontId="10" fillId="20" borderId="18" xfId="0" applyFont="1" applyFill="1" applyBorder="1" applyAlignment="1">
      <alignment horizontal="left" vertical="center"/>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3" fillId="3" borderId="1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12"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left"/>
    </xf>
    <xf numFmtId="0" fontId="20" fillId="3" borderId="2" xfId="0" applyFont="1" applyFill="1" applyBorder="1" applyAlignment="1">
      <alignment horizontal="left"/>
    </xf>
    <xf numFmtId="165" fontId="5" fillId="10" borderId="1" xfId="0" applyNumberFormat="1" applyFont="1" applyFill="1" applyBorder="1" applyAlignment="1">
      <alignment horizontal="center" vertical="center"/>
    </xf>
    <xf numFmtId="165" fontId="6" fillId="10" borderId="1" xfId="0" applyNumberFormat="1" applyFont="1" applyFill="1" applyBorder="1" applyAlignment="1">
      <alignment horizontal="center" vertical="center" wrapText="1"/>
    </xf>
    <xf numFmtId="0" fontId="3" fillId="10" borderId="14" xfId="0" applyFont="1" applyFill="1" applyBorder="1" applyAlignment="1" applyProtection="1">
      <alignment horizontal="center" vertical="center" wrapText="1"/>
      <protection locked="0"/>
    </xf>
    <xf numFmtId="0" fontId="3" fillId="10" borderId="16" xfId="0" applyFont="1" applyFill="1" applyBorder="1" applyAlignment="1" applyProtection="1">
      <alignment horizontal="center" vertical="center" wrapText="1"/>
      <protection locked="0"/>
    </xf>
    <xf numFmtId="0" fontId="3" fillId="10" borderId="24" xfId="0" applyFont="1" applyFill="1" applyBorder="1" applyAlignment="1" applyProtection="1">
      <alignment horizontal="center" vertical="center" wrapText="1"/>
      <protection locked="0"/>
    </xf>
    <xf numFmtId="0" fontId="3" fillId="10" borderId="33"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3" fillId="10" borderId="32" xfId="0" applyFont="1" applyFill="1" applyBorder="1" applyAlignment="1" applyProtection="1">
      <alignment horizontal="center" vertical="center" wrapText="1"/>
      <protection locked="0"/>
    </xf>
    <xf numFmtId="0" fontId="5"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1" fontId="5" fillId="10" borderId="1" xfId="0" applyNumberFormat="1" applyFont="1" applyFill="1" applyBorder="1" applyAlignment="1">
      <alignment horizontal="center" vertical="center"/>
    </xf>
    <xf numFmtId="1" fontId="6" fillId="10" borderId="1" xfId="0" applyNumberFormat="1" applyFont="1" applyFill="1" applyBorder="1" applyAlignment="1">
      <alignment horizontal="center" vertical="center" wrapText="1"/>
    </xf>
    <xf numFmtId="0" fontId="9" fillId="4" borderId="17"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9" fillId="4" borderId="15"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4" borderId="57" xfId="0" applyFont="1" applyFill="1" applyBorder="1" applyAlignment="1">
      <alignment horizontal="center" vertical="center" wrapText="1"/>
    </xf>
  </cellXfs>
  <cellStyles count="6">
    <cellStyle name="Currency" xfId="5" builtinId="4"/>
    <cellStyle name="Currency 2" xfId="3" xr:uid="{EEE9D913-0377-439B-9FB2-4558DC9F454C}"/>
    <cellStyle name="Normal" xfId="0" builtinId="0"/>
    <cellStyle name="Normal 2" xfId="2" xr:uid="{C2727015-0146-4669-912F-02624FF74B59}"/>
    <cellStyle name="Percent" xfId="1" builtinId="5"/>
    <cellStyle name="Percent 2" xfId="4" xr:uid="{88AE0D89-5ACB-454F-AFF1-44FE6AF276F9}"/>
  </cellStyles>
  <dxfs count="1">
    <dxf>
      <font>
        <color theme="0"/>
      </font>
    </dxf>
  </dxfs>
  <tableStyles count="0" defaultTableStyle="TableStyleMedium2" defaultPivotStyle="PivotStyleLight16"/>
  <colors>
    <mruColors>
      <color rgb="FFD8CDE7"/>
      <color rgb="FF7E58AE"/>
      <color rgb="FFFFC0CB"/>
      <color rgb="FFFED6F4"/>
      <color rgb="FFFF99FF"/>
      <color rgb="FFF9F3FF"/>
      <color rgb="FF99CCFF"/>
      <color rgb="FFF5EBFF"/>
      <color rgb="FFDEBD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0</xdr:rowOff>
    </xdr:from>
    <xdr:to>
      <xdr:col>2</xdr:col>
      <xdr:colOff>101600</xdr:colOff>
      <xdr:row>1</xdr:row>
      <xdr:rowOff>1494</xdr:rowOff>
    </xdr:to>
    <xdr:pic>
      <xdr:nvPicPr>
        <xdr:cNvPr id="7" name="Picture 6">
          <a:extLst>
            <a:ext uri="{FF2B5EF4-FFF2-40B4-BE49-F238E27FC236}">
              <a16:creationId xmlns:a16="http://schemas.microsoft.com/office/drawing/2014/main" id="{CF8309BD-BFA3-D3CF-D128-B2D6DA3E71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0"/>
          <a:ext cx="2171699" cy="849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3F001-6709-438F-AFFC-F5A4EF482755}">
  <sheetPr codeName="Sheet1"/>
  <dimension ref="A1:Y48"/>
  <sheetViews>
    <sheetView showGridLines="0" tabSelected="1" zoomScaleNormal="100" workbookViewId="0">
      <selection activeCell="B33" sqref="B33:D33"/>
    </sheetView>
  </sheetViews>
  <sheetFormatPr defaultColWidth="9.140625" defaultRowHeight="12.75" x14ac:dyDescent="0.2"/>
  <cols>
    <col min="1" max="1" width="8.5703125" style="1" customWidth="1"/>
    <col min="2" max="2" width="22.140625" style="1" customWidth="1"/>
    <col min="3" max="3" width="30.85546875" style="1" customWidth="1"/>
    <col min="4" max="4" width="16.140625" style="1" customWidth="1"/>
    <col min="5" max="5" width="12.42578125" style="44" customWidth="1"/>
    <col min="6" max="7" width="12.7109375" style="2" hidden="1" customWidth="1"/>
    <col min="8" max="8" width="13.140625" style="2" customWidth="1"/>
    <col min="9" max="9" width="12.7109375" style="2" customWidth="1"/>
    <col min="10" max="10" width="12.5703125" style="2" customWidth="1"/>
    <col min="11" max="11" width="12.140625" style="2" customWidth="1"/>
    <col min="12" max="12" width="13.140625" style="2" customWidth="1"/>
    <col min="13" max="13" width="16.28515625" style="2" customWidth="1"/>
    <col min="14" max="14" width="12.85546875" style="2" customWidth="1"/>
    <col min="15" max="15" width="11.28515625" style="3" customWidth="1"/>
    <col min="16" max="16" width="9.7109375" style="4" customWidth="1"/>
    <col min="17" max="17" width="13.85546875" style="4" customWidth="1"/>
    <col min="18" max="24" width="15.7109375" style="3" hidden="1" customWidth="1"/>
    <col min="25" max="25" width="15.7109375" style="2" hidden="1" customWidth="1"/>
    <col min="26" max="26" width="9.140625" style="1" customWidth="1"/>
    <col min="27" max="29" width="9.140625" style="1"/>
    <col min="30" max="30" width="10.140625" style="1" bestFit="1" customWidth="1"/>
    <col min="31" max="16384" width="9.140625" style="1"/>
  </cols>
  <sheetData>
    <row r="1" spans="1:25" ht="66.95" customHeight="1" x14ac:dyDescent="0.2">
      <c r="C1" s="211" t="s">
        <v>0</v>
      </c>
      <c r="D1" s="211"/>
      <c r="E1" s="211"/>
      <c r="F1" s="211"/>
      <c r="G1" s="211"/>
      <c r="H1" s="211"/>
      <c r="I1" s="211"/>
      <c r="J1" s="156"/>
      <c r="K1" s="156"/>
      <c r="L1" s="156"/>
      <c r="M1" s="156"/>
      <c r="N1" s="156"/>
      <c r="O1" s="157"/>
      <c r="P1" s="158"/>
      <c r="Q1" s="158"/>
    </row>
    <row r="2" spans="1:25" ht="27" customHeight="1" thickTop="1" x14ac:dyDescent="0.2">
      <c r="A2" s="44"/>
      <c r="B2" s="230"/>
      <c r="C2" s="230"/>
      <c r="D2" s="230"/>
      <c r="E2" s="230"/>
      <c r="F2" s="230"/>
      <c r="G2" s="132"/>
      <c r="H2" s="226" t="s">
        <v>1</v>
      </c>
      <c r="I2" s="226"/>
      <c r="J2" s="226"/>
      <c r="K2" s="226"/>
      <c r="L2" s="1" t="str">
        <f>""</f>
        <v/>
      </c>
      <c r="M2" s="214" t="s">
        <v>2</v>
      </c>
      <c r="N2" s="214"/>
      <c r="O2" s="214"/>
      <c r="P2" s="214"/>
      <c r="Q2" s="214"/>
      <c r="R2" s="1"/>
      <c r="S2" s="1"/>
      <c r="T2" s="1"/>
      <c r="U2" s="1"/>
      <c r="V2" s="1"/>
      <c r="W2" s="1"/>
      <c r="X2" s="1"/>
      <c r="Y2" s="1"/>
    </row>
    <row r="3" spans="1:25" ht="32.1" customHeight="1" thickBot="1" x14ac:dyDescent="0.25">
      <c r="B3" s="213"/>
      <c r="C3" s="213"/>
      <c r="D3" s="213"/>
      <c r="E3" s="90"/>
      <c r="H3" s="133" t="s">
        <v>3</v>
      </c>
      <c r="I3" s="134" t="s">
        <v>4</v>
      </c>
      <c r="J3" s="135" t="s">
        <v>5</v>
      </c>
      <c r="K3" s="136" t="s">
        <v>6</v>
      </c>
      <c r="M3" s="77" t="s">
        <v>7</v>
      </c>
      <c r="N3" s="78" t="s">
        <v>8</v>
      </c>
      <c r="O3" s="79" t="s">
        <v>9</v>
      </c>
      <c r="P3" s="80" t="s">
        <v>10</v>
      </c>
      <c r="Q3" s="81" t="s">
        <v>11</v>
      </c>
      <c r="R3" s="2"/>
      <c r="S3" s="2"/>
      <c r="T3" s="4"/>
      <c r="U3" s="4"/>
      <c r="V3" s="4"/>
      <c r="W3" s="49" t="s">
        <v>12</v>
      </c>
      <c r="X3" s="49"/>
      <c r="Y3" s="48"/>
    </row>
    <row r="4" spans="1:25" ht="21.95" customHeight="1" x14ac:dyDescent="0.2">
      <c r="B4" s="227" t="s">
        <v>13</v>
      </c>
      <c r="C4" s="228"/>
      <c r="D4" s="229"/>
      <c r="H4" s="170" t="s">
        <v>14</v>
      </c>
      <c r="I4" s="137" t="s">
        <v>15</v>
      </c>
      <c r="J4" s="138">
        <v>6</v>
      </c>
      <c r="K4" s="139">
        <v>21</v>
      </c>
      <c r="M4" s="91">
        <v>5000</v>
      </c>
      <c r="N4" s="91">
        <v>13749</v>
      </c>
      <c r="O4" s="92">
        <v>0.03</v>
      </c>
      <c r="P4" s="93">
        <v>0.01</v>
      </c>
      <c r="Q4" s="93">
        <v>0.04</v>
      </c>
      <c r="R4" s="2"/>
      <c r="S4" s="2"/>
      <c r="T4" s="4"/>
      <c r="U4" s="4"/>
      <c r="V4" s="4"/>
      <c r="W4" s="5" t="s">
        <v>16</v>
      </c>
      <c r="X4" s="5" t="s">
        <v>17</v>
      </c>
      <c r="Y4" s="30" t="s">
        <v>18</v>
      </c>
    </row>
    <row r="5" spans="1:25" ht="18.95" customHeight="1" thickBot="1" x14ac:dyDescent="0.25">
      <c r="B5" s="82" t="s">
        <v>19</v>
      </c>
      <c r="C5" s="224"/>
      <c r="D5" s="225"/>
      <c r="H5" s="171"/>
      <c r="I5" s="140" t="s">
        <v>20</v>
      </c>
      <c r="J5" s="141">
        <v>2</v>
      </c>
      <c r="K5" s="142">
        <v>26</v>
      </c>
      <c r="M5" s="91">
        <v>13750</v>
      </c>
      <c r="N5" s="91">
        <v>22249</v>
      </c>
      <c r="O5" s="92">
        <v>0.04</v>
      </c>
      <c r="P5" s="93">
        <v>0.01</v>
      </c>
      <c r="Q5" s="93">
        <v>0.05</v>
      </c>
      <c r="R5" s="2"/>
      <c r="S5" s="2"/>
      <c r="T5" s="4"/>
      <c r="U5" s="4"/>
      <c r="V5" s="4"/>
      <c r="W5" s="91">
        <v>5000</v>
      </c>
      <c r="X5" s="91">
        <v>13749</v>
      </c>
      <c r="Y5" s="31">
        <v>0.03</v>
      </c>
    </row>
    <row r="6" spans="1:25" ht="18.95" customHeight="1" x14ac:dyDescent="0.3">
      <c r="B6" s="89" t="s">
        <v>21</v>
      </c>
      <c r="C6" s="172"/>
      <c r="D6" s="173"/>
      <c r="H6" s="170" t="s">
        <v>22</v>
      </c>
      <c r="I6" s="143" t="s">
        <v>23</v>
      </c>
      <c r="J6" s="138">
        <v>2</v>
      </c>
      <c r="K6" s="144"/>
      <c r="M6" s="91">
        <v>22250</v>
      </c>
      <c r="N6" s="91">
        <v>30749</v>
      </c>
      <c r="O6" s="92">
        <v>0.05</v>
      </c>
      <c r="P6" s="93">
        <v>0.01</v>
      </c>
      <c r="Q6" s="93">
        <v>0.06</v>
      </c>
      <c r="R6" s="2"/>
      <c r="S6" s="111" t="s">
        <v>24</v>
      </c>
      <c r="T6" s="4"/>
      <c r="U6" s="4"/>
      <c r="V6" s="4"/>
      <c r="W6" s="91">
        <v>13750</v>
      </c>
      <c r="X6" s="91">
        <v>22249</v>
      </c>
      <c r="Y6" s="31">
        <v>0.04</v>
      </c>
    </row>
    <row r="7" spans="1:25" ht="18.95" customHeight="1" thickBot="1" x14ac:dyDescent="0.25">
      <c r="B7" s="83" t="s">
        <v>25</v>
      </c>
      <c r="C7" s="174"/>
      <c r="D7" s="175"/>
      <c r="H7" s="171"/>
      <c r="I7" s="140" t="s">
        <v>26</v>
      </c>
      <c r="J7" s="141">
        <v>6</v>
      </c>
      <c r="K7" s="142">
        <v>25</v>
      </c>
      <c r="M7" s="91">
        <v>30750</v>
      </c>
      <c r="N7" s="91">
        <v>39249</v>
      </c>
      <c r="O7" s="92">
        <v>0.06</v>
      </c>
      <c r="P7" s="93">
        <v>0.01</v>
      </c>
      <c r="Q7" s="93">
        <v>7.0000000000000007E-2</v>
      </c>
      <c r="R7" s="2"/>
      <c r="S7" s="2"/>
      <c r="T7" s="4"/>
      <c r="U7" s="4"/>
      <c r="V7" s="4"/>
      <c r="W7" s="91">
        <v>22250</v>
      </c>
      <c r="X7" s="91">
        <v>30749</v>
      </c>
      <c r="Y7" s="31">
        <v>0.05</v>
      </c>
    </row>
    <row r="8" spans="1:25" ht="18.95" customHeight="1" x14ac:dyDescent="0.2">
      <c r="B8" s="84" t="s">
        <v>27</v>
      </c>
      <c r="C8" s="176"/>
      <c r="D8" s="177"/>
      <c r="H8" s="170" t="s">
        <v>28</v>
      </c>
      <c r="I8" s="143" t="s">
        <v>23</v>
      </c>
      <c r="J8" s="138">
        <v>2</v>
      </c>
      <c r="K8" s="144"/>
      <c r="M8" s="91">
        <v>39250</v>
      </c>
      <c r="N8" s="91">
        <v>47749</v>
      </c>
      <c r="O8" s="92">
        <v>0.08</v>
      </c>
      <c r="P8" s="93"/>
      <c r="Q8" s="93">
        <v>0.08</v>
      </c>
      <c r="R8" s="2"/>
      <c r="S8" s="2"/>
      <c r="T8" s="4"/>
      <c r="U8" s="4"/>
      <c r="V8" s="4"/>
      <c r="W8" s="91">
        <v>30750</v>
      </c>
      <c r="X8" s="91">
        <v>39249</v>
      </c>
      <c r="Y8" s="31">
        <v>0.06</v>
      </c>
    </row>
    <row r="9" spans="1:25" ht="18.95" customHeight="1" thickBot="1" x14ac:dyDescent="0.25">
      <c r="B9" s="84" t="s">
        <v>29</v>
      </c>
      <c r="C9" s="178"/>
      <c r="D9" s="179"/>
      <c r="H9" s="171"/>
      <c r="I9" s="140" t="s">
        <v>30</v>
      </c>
      <c r="J9" s="141">
        <v>16</v>
      </c>
      <c r="K9" s="142">
        <v>5</v>
      </c>
      <c r="M9" s="91">
        <v>47750</v>
      </c>
      <c r="N9" s="91">
        <v>999999.99</v>
      </c>
      <c r="O9" s="92">
        <v>0.09</v>
      </c>
      <c r="P9" s="93"/>
      <c r="Q9" s="93">
        <v>0.09</v>
      </c>
      <c r="R9" s="2"/>
      <c r="S9" s="2"/>
      <c r="T9" s="4"/>
      <c r="U9" s="4"/>
      <c r="V9" s="4"/>
      <c r="W9" s="91">
        <v>39250</v>
      </c>
      <c r="X9" s="91">
        <v>47749</v>
      </c>
      <c r="Y9" s="31">
        <v>0.08</v>
      </c>
    </row>
    <row r="10" spans="1:25" ht="16.5" customHeight="1" x14ac:dyDescent="0.2">
      <c r="B10" s="167"/>
      <c r="C10" s="167"/>
      <c r="D10" s="167"/>
      <c r="H10" s="27"/>
      <c r="I10" s="27"/>
      <c r="K10" s="27"/>
      <c r="R10" s="2"/>
      <c r="S10" s="2"/>
      <c r="W10" s="91">
        <v>47750</v>
      </c>
      <c r="X10" s="91">
        <v>999999.99</v>
      </c>
      <c r="Y10" s="31">
        <v>0.09</v>
      </c>
    </row>
    <row r="11" spans="1:25" ht="13.5" customHeight="1" x14ac:dyDescent="0.2">
      <c r="B11" s="33"/>
      <c r="C11" s="33"/>
      <c r="F11" s="52" t="s">
        <v>31</v>
      </c>
      <c r="G11" s="52"/>
      <c r="J11" s="215" t="s">
        <v>32</v>
      </c>
      <c r="K11" s="216"/>
      <c r="L11" s="217"/>
      <c r="R11" s="52" t="s">
        <v>31</v>
      </c>
      <c r="S11" s="52"/>
      <c r="T11" s="52" t="s">
        <v>31</v>
      </c>
      <c r="U11" s="52"/>
      <c r="V11" s="52"/>
      <c r="W11" s="52" t="s">
        <v>31</v>
      </c>
      <c r="X11" s="52" t="s">
        <v>31</v>
      </c>
      <c r="Y11" s="52" t="s">
        <v>31</v>
      </c>
    </row>
    <row r="12" spans="1:25" ht="15.95" customHeight="1" x14ac:dyDescent="0.25">
      <c r="E12" s="1"/>
      <c r="F12" s="1"/>
      <c r="G12" s="1"/>
      <c r="H12" s="1"/>
      <c r="I12" s="1"/>
      <c r="J12" s="218"/>
      <c r="K12" s="219"/>
      <c r="L12" s="220"/>
      <c r="N12" s="1"/>
      <c r="O12" s="1"/>
      <c r="P12" s="1"/>
      <c r="Q12" s="1"/>
      <c r="R12" s="55" t="s">
        <v>33</v>
      </c>
      <c r="S12" s="54"/>
      <c r="T12" s="56" t="s">
        <v>34</v>
      </c>
      <c r="U12" s="57"/>
      <c r="V12" s="57"/>
      <c r="W12" s="68" t="s">
        <v>35</v>
      </c>
      <c r="X12" s="69"/>
      <c r="Y12" s="69"/>
    </row>
    <row r="13" spans="1:25" ht="18.600000000000001" customHeight="1" x14ac:dyDescent="0.2">
      <c r="B13" s="201" t="s">
        <v>36</v>
      </c>
      <c r="C13" s="203" t="s">
        <v>37</v>
      </c>
      <c r="D13" s="203" t="s">
        <v>38</v>
      </c>
      <c r="E13" s="204" t="s">
        <v>39</v>
      </c>
      <c r="F13" s="168" t="s">
        <v>40</v>
      </c>
      <c r="G13" s="168" t="s">
        <v>41</v>
      </c>
      <c r="H13" s="168" t="s">
        <v>42</v>
      </c>
      <c r="I13" s="168" t="s">
        <v>43</v>
      </c>
      <c r="J13" s="195" t="s">
        <v>44</v>
      </c>
      <c r="K13" s="195" t="s">
        <v>45</v>
      </c>
      <c r="L13" s="194" t="s">
        <v>46</v>
      </c>
      <c r="M13" s="168" t="s">
        <v>47</v>
      </c>
      <c r="N13" s="168" t="s">
        <v>48</v>
      </c>
      <c r="O13" s="201" t="s">
        <v>49</v>
      </c>
      <c r="P13" s="206" t="s">
        <v>50</v>
      </c>
      <c r="Q13" s="206" t="s">
        <v>51</v>
      </c>
      <c r="R13" s="191" t="s">
        <v>52</v>
      </c>
      <c r="S13" s="196" t="s">
        <v>53</v>
      </c>
      <c r="T13" s="191" t="s">
        <v>52</v>
      </c>
      <c r="U13" s="196" t="s">
        <v>54</v>
      </c>
      <c r="V13" s="196" t="s">
        <v>55</v>
      </c>
      <c r="W13" s="191" t="s">
        <v>56</v>
      </c>
      <c r="X13" s="191" t="s">
        <v>57</v>
      </c>
      <c r="Y13" s="193" t="s">
        <v>58</v>
      </c>
    </row>
    <row r="14" spans="1:25" ht="24.6" customHeight="1" x14ac:dyDescent="0.2">
      <c r="B14" s="202"/>
      <c r="C14" s="197"/>
      <c r="D14" s="197"/>
      <c r="E14" s="205"/>
      <c r="F14" s="169"/>
      <c r="G14" s="169"/>
      <c r="H14" s="169"/>
      <c r="I14" s="169"/>
      <c r="J14" s="169"/>
      <c r="K14" s="169"/>
      <c r="L14" s="195"/>
      <c r="M14" s="169"/>
      <c r="N14" s="169"/>
      <c r="O14" s="202"/>
      <c r="P14" s="207"/>
      <c r="Q14" s="207"/>
      <c r="R14" s="192"/>
      <c r="S14" s="197"/>
      <c r="T14" s="192"/>
      <c r="U14" s="197"/>
      <c r="V14" s="197"/>
      <c r="W14" s="192"/>
      <c r="X14" s="192"/>
      <c r="Y14" s="194"/>
    </row>
    <row r="15" spans="1:25" ht="16.5" customHeight="1" x14ac:dyDescent="0.2">
      <c r="B15" s="202"/>
      <c r="C15" s="197"/>
      <c r="D15" s="197"/>
      <c r="E15" s="205"/>
      <c r="F15" s="169"/>
      <c r="G15" s="169"/>
      <c r="H15" s="169"/>
      <c r="I15" s="169"/>
      <c r="J15" s="169"/>
      <c r="K15" s="169"/>
      <c r="L15" s="100">
        <f>IF(AND(I28&lt;&gt;"",I28&gt; 0,X28&gt;0),IF(X28&gt;0.07,X28,(X28+0.01)),0)</f>
        <v>0</v>
      </c>
      <c r="M15" s="169"/>
      <c r="N15" s="169"/>
      <c r="O15" s="202"/>
      <c r="P15" s="207"/>
      <c r="Q15" s="207"/>
      <c r="R15" s="192"/>
      <c r="S15" s="197"/>
      <c r="T15" s="192"/>
      <c r="U15" s="197"/>
      <c r="V15" s="197"/>
      <c r="W15" s="192"/>
      <c r="X15" s="192"/>
      <c r="Y15" s="195"/>
    </row>
    <row r="16" spans="1:25" ht="38.1" customHeight="1" x14ac:dyDescent="0.2">
      <c r="B16" s="99" t="s">
        <v>59</v>
      </c>
      <c r="C16" s="34" t="s">
        <v>30</v>
      </c>
      <c r="D16" s="34" t="s">
        <v>60</v>
      </c>
      <c r="E16" s="74"/>
      <c r="F16" s="166">
        <v>128.54</v>
      </c>
      <c r="G16" s="58" t="str">
        <f>IF(E16*F16= 0,"",E16*F16)</f>
        <v/>
      </c>
      <c r="H16" s="166">
        <v>128.54</v>
      </c>
      <c r="I16" s="58" t="str">
        <f>IF(E16*H16= 0,"",E16*H16)</f>
        <v/>
      </c>
      <c r="J16" s="116">
        <f>IF(OR(E16 ="",E16&lt;R16,R16=0),0,E16*S16)</f>
        <v>0</v>
      </c>
      <c r="K16" s="116">
        <f>IF(OR(E16 ="",E16&lt;T16,U16="No",T16=0),0,E16*V16)</f>
        <v>0</v>
      </c>
      <c r="L16" s="116">
        <f>IF(OR(G16 ="",W16+X16=0),0,E16*H16*((W16+X16)/1.02175))</f>
        <v>0</v>
      </c>
      <c r="M16" s="58" t="str">
        <f>IF(AND(E16&lt;&gt;"",E16&gt;0),((I16/E16)-((J16+K16+L16)/E16)),"")</f>
        <v/>
      </c>
      <c r="N16" s="53" t="str">
        <f>IF(AND(E16&lt;&gt;"",E16&gt;0), E16*M16,"")</f>
        <v/>
      </c>
      <c r="O16" s="59">
        <f>P16/43.56</f>
        <v>0.11294765840220385</v>
      </c>
      <c r="P16" s="76">
        <v>4.92</v>
      </c>
      <c r="Q16" s="97" t="str">
        <f>IF(AND(TRIM(P16)&lt;&gt;"",TRIM(E16)&lt;&gt;""),(E16*10)/P16,"")</f>
        <v/>
      </c>
      <c r="R16" s="60">
        <v>16</v>
      </c>
      <c r="S16" s="61">
        <v>5</v>
      </c>
      <c r="T16" s="62">
        <v>16</v>
      </c>
      <c r="U16" s="112" t="str">
        <f>IF(AND((E23+E24+E25)&gt;=T23,E16&gt;=T16),"Yes","No")</f>
        <v>No</v>
      </c>
      <c r="V16" s="114">
        <v>5</v>
      </c>
      <c r="W16" s="62">
        <f t="shared" ref="W16:W22" si="0">IF(AND(E16 &lt;&gt;"",Y$28&gt;=5000,X$28&lt;=0.07),0.01,0)</f>
        <v>0</v>
      </c>
      <c r="X16" s="62">
        <f t="shared" ref="X16:X21" si="1">IF(E16 &lt;&gt;"", X$28,0)</f>
        <v>0</v>
      </c>
      <c r="Y16" s="53">
        <f>IF(E16 = "",0,H16*E16)</f>
        <v>0</v>
      </c>
    </row>
    <row r="17" spans="2:25" ht="17.45" customHeight="1" x14ac:dyDescent="0.2">
      <c r="B17" s="98" t="s">
        <v>61</v>
      </c>
      <c r="C17" s="34" t="s">
        <v>62</v>
      </c>
      <c r="D17" s="34" t="s">
        <v>63</v>
      </c>
      <c r="E17" s="74"/>
      <c r="F17" s="166">
        <v>1966.87</v>
      </c>
      <c r="G17" s="58" t="str">
        <f t="shared" ref="G17" si="2">IF(E17*F17= 0,"",E17*F17)</f>
        <v/>
      </c>
      <c r="H17" s="166">
        <v>1966.87</v>
      </c>
      <c r="I17" s="58" t="str">
        <f t="shared" ref="I17:I27" si="3">IF(E17*H17= 0,"",E17*H17)</f>
        <v/>
      </c>
      <c r="J17" s="116">
        <f t="shared" ref="J17:J27" si="4">IF(OR(E17 ="",E17&lt;R17,R17=0),0,E17*S17)</f>
        <v>0</v>
      </c>
      <c r="K17" s="116">
        <f t="shared" ref="K17:K27" si="5">IF(OR(E17 ="",E17&lt;T17,U17="No",T17=0),0,E17*V17)</f>
        <v>0</v>
      </c>
      <c r="L17" s="116">
        <f t="shared" ref="L17:L27" si="6">IF(OR(G17 ="",W17+X17=0),0,E17*H17*((W17+X17)/1.02175))</f>
        <v>0</v>
      </c>
      <c r="M17" s="58" t="str">
        <f t="shared" ref="M17:M19" si="7">IF(AND(E17&lt;&gt;"",E17&gt;0),((I17/E17)-((J17+K17+L17)/E17)),"")</f>
        <v/>
      </c>
      <c r="N17" s="53" t="str">
        <f t="shared" ref="N17:N27" si="8">IF(AND(E17&lt;&gt;"",E17&gt;0), E17*M17,"")</f>
        <v/>
      </c>
      <c r="O17" s="66">
        <f>P17/43.56</f>
        <v>0.39003673094582181</v>
      </c>
      <c r="P17" s="76">
        <f>16.99</f>
        <v>16.989999999999998</v>
      </c>
      <c r="Q17" s="97" t="str">
        <f>IF(AND(TRIM(P17)&lt;&gt;"",TRIM(E17)&lt;&gt;""),(E17*17.1)/P17,"")</f>
        <v/>
      </c>
      <c r="R17" s="51"/>
      <c r="S17" s="51"/>
      <c r="T17" s="51"/>
      <c r="U17" s="51"/>
      <c r="V17" s="51"/>
      <c r="W17" s="62">
        <f t="shared" si="0"/>
        <v>0</v>
      </c>
      <c r="X17" s="62">
        <f t="shared" si="1"/>
        <v>0</v>
      </c>
      <c r="Y17" s="53">
        <f t="shared" ref="Y17:Y27" si="9">IF(E17 = "",0,H17*E17)</f>
        <v>0</v>
      </c>
    </row>
    <row r="18" spans="2:25" ht="17.45" customHeight="1" x14ac:dyDescent="0.2">
      <c r="B18" s="98" t="s">
        <v>61</v>
      </c>
      <c r="C18" s="34" t="s">
        <v>64</v>
      </c>
      <c r="D18" s="34" t="s">
        <v>63</v>
      </c>
      <c r="E18" s="74"/>
      <c r="F18" s="166">
        <v>1966.87</v>
      </c>
      <c r="G18" s="58" t="str">
        <f>IF(E18*F18= 0,"",E18*F18)</f>
        <v/>
      </c>
      <c r="H18" s="166">
        <v>1770.2</v>
      </c>
      <c r="I18" s="58" t="str">
        <f t="shared" si="3"/>
        <v/>
      </c>
      <c r="J18" s="116">
        <f t="shared" si="4"/>
        <v>0</v>
      </c>
      <c r="K18" s="116">
        <f t="shared" si="5"/>
        <v>0</v>
      </c>
      <c r="L18" s="116">
        <f t="shared" si="6"/>
        <v>0</v>
      </c>
      <c r="M18" s="58" t="str">
        <f t="shared" si="7"/>
        <v/>
      </c>
      <c r="N18" s="53" t="str">
        <f t="shared" si="8"/>
        <v/>
      </c>
      <c r="O18" s="66">
        <f>P18/43.56</f>
        <v>0.39003673094582181</v>
      </c>
      <c r="P18" s="76">
        <f>16.99</f>
        <v>16.989999999999998</v>
      </c>
      <c r="Q18" s="97" t="str">
        <f>IF(AND(TRIM(P18)&lt;&gt;"",TRIM(E18)&lt;&gt;""),(E18*17.1)/P18,"")</f>
        <v/>
      </c>
      <c r="R18" s="51"/>
      <c r="S18" s="51"/>
      <c r="T18" s="51"/>
      <c r="U18" s="51"/>
      <c r="V18" s="51"/>
      <c r="W18" s="62">
        <f t="shared" si="0"/>
        <v>0</v>
      </c>
      <c r="X18" s="62">
        <f t="shared" si="1"/>
        <v>0</v>
      </c>
      <c r="Y18" s="53">
        <f>IF(E18 = "",0,H18*E18)</f>
        <v>0</v>
      </c>
    </row>
    <row r="19" spans="2:25" ht="21.95" customHeight="1" x14ac:dyDescent="0.2">
      <c r="B19" s="98" t="s">
        <v>61</v>
      </c>
      <c r="C19" s="34" t="s">
        <v>65</v>
      </c>
      <c r="D19" s="34" t="s">
        <v>66</v>
      </c>
      <c r="E19" s="74"/>
      <c r="F19" s="166">
        <v>573.20000000000005</v>
      </c>
      <c r="G19" s="58" t="str">
        <f t="shared" ref="G19:G27" si="10">IF(E19*F19= 0,"",E19*F19)</f>
        <v/>
      </c>
      <c r="H19" s="166">
        <v>573.20000000000005</v>
      </c>
      <c r="I19" s="58" t="str">
        <f t="shared" si="3"/>
        <v/>
      </c>
      <c r="J19" s="116">
        <f t="shared" si="4"/>
        <v>0</v>
      </c>
      <c r="K19" s="116">
        <f t="shared" si="5"/>
        <v>0</v>
      </c>
      <c r="L19" s="116">
        <f t="shared" si="6"/>
        <v>0</v>
      </c>
      <c r="M19" s="58" t="str">
        <f t="shared" si="7"/>
        <v/>
      </c>
      <c r="N19" s="53" t="str">
        <f t="shared" si="8"/>
        <v/>
      </c>
      <c r="O19" s="75">
        <v>4</v>
      </c>
      <c r="P19" s="97">
        <f t="shared" ref="P19:P21" si="11">O19*43.56</f>
        <v>174.24</v>
      </c>
      <c r="Q19" s="97" t="str">
        <f>IF(AND(TRIM(P19)&lt;&gt;"",TRIM(E19)&lt;&gt;""),(E19*319.999849189052)/P19,"")</f>
        <v/>
      </c>
      <c r="R19" s="51"/>
      <c r="S19" s="51"/>
      <c r="T19" s="51"/>
      <c r="U19" s="51"/>
      <c r="V19" s="113"/>
      <c r="W19" s="62">
        <f t="shared" si="0"/>
        <v>0</v>
      </c>
      <c r="X19" s="62">
        <f t="shared" si="1"/>
        <v>0</v>
      </c>
      <c r="Y19" s="53">
        <f t="shared" si="9"/>
        <v>0</v>
      </c>
    </row>
    <row r="20" spans="2:25" ht="28.5" customHeight="1" x14ac:dyDescent="0.2">
      <c r="B20" s="99" t="s">
        <v>67</v>
      </c>
      <c r="C20" s="34" t="s">
        <v>68</v>
      </c>
      <c r="D20" s="34" t="s">
        <v>66</v>
      </c>
      <c r="E20" s="74"/>
      <c r="F20" s="166">
        <v>573.20000000000005</v>
      </c>
      <c r="G20" s="58" t="str">
        <f t="shared" si="10"/>
        <v/>
      </c>
      <c r="H20" s="166">
        <v>504.25</v>
      </c>
      <c r="I20" s="58" t="str">
        <f t="shared" si="3"/>
        <v/>
      </c>
      <c r="J20" s="116">
        <f t="shared" si="4"/>
        <v>0</v>
      </c>
      <c r="K20" s="116">
        <f t="shared" si="5"/>
        <v>0</v>
      </c>
      <c r="L20" s="116">
        <f t="shared" si="6"/>
        <v>0</v>
      </c>
      <c r="M20" s="58" t="str">
        <f>IF(AND(E20&lt;&gt;"",E20&gt;0),((I20/E20)-((J20+K20+L20)/E20)),"")</f>
        <v/>
      </c>
      <c r="N20" s="53" t="str">
        <f t="shared" si="8"/>
        <v/>
      </c>
      <c r="O20" s="75">
        <v>4</v>
      </c>
      <c r="P20" s="97">
        <f t="shared" si="11"/>
        <v>174.24</v>
      </c>
      <c r="Q20" s="97" t="str">
        <f>IF(AND(TRIM(P20)&lt;&gt;"",TRIM(E20)&lt;&gt;""),(E20*319.999849189052)/P20,"")</f>
        <v/>
      </c>
      <c r="R20" s="60">
        <v>6</v>
      </c>
      <c r="S20" s="61">
        <v>25</v>
      </c>
      <c r="T20" s="62">
        <v>6</v>
      </c>
      <c r="U20" s="112" t="str">
        <f>IF(AND(E20&gt;=T20,E21&gt;=T21),"Yes","No")</f>
        <v>No</v>
      </c>
      <c r="V20" s="114">
        <v>21</v>
      </c>
      <c r="W20" s="62">
        <f t="shared" si="0"/>
        <v>0</v>
      </c>
      <c r="X20" s="62">
        <f t="shared" si="1"/>
        <v>0</v>
      </c>
      <c r="Y20" s="53">
        <f t="shared" si="9"/>
        <v>0</v>
      </c>
    </row>
    <row r="21" spans="2:25" ht="28.5" customHeight="1" x14ac:dyDescent="0.2">
      <c r="B21" s="99" t="s">
        <v>69</v>
      </c>
      <c r="C21" s="34" t="s">
        <v>70</v>
      </c>
      <c r="D21" s="34" t="s">
        <v>66</v>
      </c>
      <c r="E21" s="74"/>
      <c r="F21" s="166">
        <v>497.8</v>
      </c>
      <c r="G21" s="58" t="str">
        <f>IF(E21*F21= 0,"",E21*F21)</f>
        <v/>
      </c>
      <c r="H21" s="166">
        <v>497.8</v>
      </c>
      <c r="I21" s="58" t="str">
        <f>IF(E21*H21= 0,"",E21*H21)</f>
        <v/>
      </c>
      <c r="J21" s="116">
        <f>IF(OR(E21 ="",E21&lt;R21,R21=0),0,E21*S21)</f>
        <v>0</v>
      </c>
      <c r="K21" s="116">
        <f>IF(OR(E21 ="",E21&lt;T21,U21="No",T21=0),0,E21*V21)</f>
        <v>0</v>
      </c>
      <c r="L21" s="116">
        <f t="shared" si="6"/>
        <v>0</v>
      </c>
      <c r="M21" s="58" t="str">
        <f>IF(AND(E21&lt;&gt;"",E21&gt;0),((I21/E21)-((J21+K21+L21)/E21)),"")</f>
        <v/>
      </c>
      <c r="N21" s="53" t="str">
        <f>IF(AND(E21&lt;&gt;"",E21&gt;0), E21*M21,"")</f>
        <v/>
      </c>
      <c r="O21" s="75">
        <v>1</v>
      </c>
      <c r="P21" s="97">
        <f t="shared" si="11"/>
        <v>43.56</v>
      </c>
      <c r="Q21" s="97" t="str">
        <f>IF(AND(TRIM(P21)&lt;&gt;"",TRIM(E21)&lt;&gt;""),(E21*319.999849189052)/P21,"")</f>
        <v/>
      </c>
      <c r="R21" s="51"/>
      <c r="S21" s="51"/>
      <c r="T21" s="62">
        <v>2</v>
      </c>
      <c r="U21" s="112" t="str">
        <f>IF(AND(E20&gt;=T20,E21&gt;=T21),"Yes","No")</f>
        <v>No</v>
      </c>
      <c r="V21" s="114">
        <v>26</v>
      </c>
      <c r="W21" s="62">
        <f t="shared" si="0"/>
        <v>0</v>
      </c>
      <c r="X21" s="62">
        <f t="shared" si="1"/>
        <v>0</v>
      </c>
      <c r="Y21" s="53">
        <f>IF(E21 = "",0,H21*E21)</f>
        <v>0</v>
      </c>
    </row>
    <row r="22" spans="2:25" ht="17.45" customHeight="1" x14ac:dyDescent="0.2">
      <c r="B22" s="98" t="s">
        <v>61</v>
      </c>
      <c r="C22" s="34" t="s">
        <v>71</v>
      </c>
      <c r="D22" s="34" t="s">
        <v>72</v>
      </c>
      <c r="E22" s="74"/>
      <c r="F22" s="58">
        <v>759.26</v>
      </c>
      <c r="G22" s="58" t="str">
        <f t="shared" si="10"/>
        <v/>
      </c>
      <c r="H22" s="58">
        <v>759.26</v>
      </c>
      <c r="I22" s="58" t="str">
        <f t="shared" si="3"/>
        <v/>
      </c>
      <c r="J22" s="116">
        <f t="shared" si="4"/>
        <v>0</v>
      </c>
      <c r="K22" s="116">
        <f t="shared" si="5"/>
        <v>0</v>
      </c>
      <c r="L22" s="116">
        <f t="shared" si="6"/>
        <v>0</v>
      </c>
      <c r="M22" s="58" t="str">
        <f t="shared" ref="M22:M27" si="12">IF(AND(E22&lt;&gt;"",E22&gt;0),((I22/E22)-((J22+K22+L22)/E22)),"")</f>
        <v/>
      </c>
      <c r="N22" s="53" t="str">
        <f t="shared" si="8"/>
        <v/>
      </c>
      <c r="O22" s="59">
        <f>P22/43.56</f>
        <v>0.39990817263544537</v>
      </c>
      <c r="P22" s="76">
        <v>17.420000000000002</v>
      </c>
      <c r="Q22" s="97" t="str">
        <f>IF(AND(TRIM(P22)&lt;&gt;"",TRIM(E22)&lt;&gt;""),(E22*87)/P22,"")</f>
        <v/>
      </c>
      <c r="R22" s="51"/>
      <c r="S22" s="51"/>
      <c r="T22" s="51"/>
      <c r="U22" s="51"/>
      <c r="V22" s="51"/>
      <c r="W22" s="62">
        <f t="shared" si="0"/>
        <v>0</v>
      </c>
      <c r="X22" s="62">
        <f t="shared" ref="X22:X27" si="13">IF(E22 &lt;&gt;"", X$28,0)</f>
        <v>0</v>
      </c>
      <c r="Y22" s="53">
        <f t="shared" si="9"/>
        <v>0</v>
      </c>
    </row>
    <row r="23" spans="2:25" ht="17.45" customHeight="1" x14ac:dyDescent="0.2">
      <c r="B23" s="221" t="s">
        <v>73</v>
      </c>
      <c r="C23" s="63" t="s">
        <v>74</v>
      </c>
      <c r="D23" s="63" t="s">
        <v>75</v>
      </c>
      <c r="E23" s="74"/>
      <c r="F23" s="58">
        <v>2075.38</v>
      </c>
      <c r="G23" s="58" t="str">
        <f t="shared" si="10"/>
        <v/>
      </c>
      <c r="H23" s="58">
        <v>2075.38</v>
      </c>
      <c r="I23" s="58" t="str">
        <f t="shared" si="3"/>
        <v/>
      </c>
      <c r="J23" s="116">
        <f t="shared" si="4"/>
        <v>0</v>
      </c>
      <c r="K23" s="116">
        <f t="shared" si="5"/>
        <v>0</v>
      </c>
      <c r="L23" s="116">
        <f t="shared" si="6"/>
        <v>0</v>
      </c>
      <c r="M23" s="58" t="str">
        <f t="shared" si="12"/>
        <v/>
      </c>
      <c r="N23" s="53" t="str">
        <f t="shared" si="8"/>
        <v/>
      </c>
      <c r="O23" s="59">
        <f t="shared" ref="O23:O27" si="14">P23/43.56</f>
        <v>0.1379706152433425</v>
      </c>
      <c r="P23" s="76">
        <v>6.01</v>
      </c>
      <c r="Q23" s="97" t="str">
        <f>IF(AND(TRIM(P23)&lt;&gt;"",TRIM(E23)&lt;&gt;""),(E23*127.999939675621)/P23,"")</f>
        <v/>
      </c>
      <c r="R23" s="51"/>
      <c r="S23" s="51"/>
      <c r="T23" s="62">
        <v>2</v>
      </c>
      <c r="U23" s="51"/>
      <c r="V23" s="51"/>
      <c r="W23" s="51">
        <v>0</v>
      </c>
      <c r="X23" s="51">
        <v>0</v>
      </c>
      <c r="Y23" s="53">
        <f t="shared" si="9"/>
        <v>0</v>
      </c>
    </row>
    <row r="24" spans="2:25" ht="15" customHeight="1" x14ac:dyDescent="0.2">
      <c r="B24" s="222"/>
      <c r="C24" s="63" t="s">
        <v>76</v>
      </c>
      <c r="D24" s="63" t="s">
        <v>75</v>
      </c>
      <c r="E24" s="74"/>
      <c r="F24" s="58">
        <v>2075.38</v>
      </c>
      <c r="G24" s="58" t="str">
        <f t="shared" si="10"/>
        <v/>
      </c>
      <c r="H24" s="58">
        <v>1781.42</v>
      </c>
      <c r="I24" s="58" t="str">
        <f t="shared" si="3"/>
        <v/>
      </c>
      <c r="J24" s="116">
        <f t="shared" si="4"/>
        <v>0</v>
      </c>
      <c r="K24" s="116">
        <f t="shared" si="5"/>
        <v>0</v>
      </c>
      <c r="L24" s="116">
        <f t="shared" si="6"/>
        <v>0</v>
      </c>
      <c r="M24" s="58" t="str">
        <f t="shared" si="12"/>
        <v/>
      </c>
      <c r="N24" s="53" t="str">
        <f t="shared" si="8"/>
        <v/>
      </c>
      <c r="O24" s="59">
        <f t="shared" si="14"/>
        <v>0.1379706152433425</v>
      </c>
      <c r="P24" s="76">
        <v>6.01</v>
      </c>
      <c r="Q24" s="97" t="str">
        <f>IF(AND(TRIM(P24)&lt;&gt;"",TRIM(E24)&lt;&gt;""),(E24*127.999939675621)/P24,"")</f>
        <v/>
      </c>
      <c r="R24" s="51"/>
      <c r="S24" s="51"/>
      <c r="T24" s="51"/>
      <c r="U24" s="51"/>
      <c r="V24" s="51"/>
      <c r="W24" s="51">
        <v>0</v>
      </c>
      <c r="X24" s="51">
        <v>0</v>
      </c>
      <c r="Y24" s="53">
        <f t="shared" si="9"/>
        <v>0</v>
      </c>
    </row>
    <row r="25" spans="2:25" ht="17.45" customHeight="1" x14ac:dyDescent="0.2">
      <c r="B25" s="223"/>
      <c r="C25" s="63" t="s">
        <v>77</v>
      </c>
      <c r="D25" s="63" t="s">
        <v>75</v>
      </c>
      <c r="E25" s="74"/>
      <c r="F25" s="58">
        <v>2075.38</v>
      </c>
      <c r="G25" s="58" t="str">
        <f t="shared" si="10"/>
        <v/>
      </c>
      <c r="H25" s="58">
        <v>1600.27</v>
      </c>
      <c r="I25" s="58" t="str">
        <f t="shared" si="3"/>
        <v/>
      </c>
      <c r="J25" s="116">
        <f t="shared" si="4"/>
        <v>0</v>
      </c>
      <c r="K25" s="116">
        <f t="shared" si="5"/>
        <v>0</v>
      </c>
      <c r="L25" s="116">
        <f t="shared" si="6"/>
        <v>0</v>
      </c>
      <c r="M25" s="58" t="str">
        <f t="shared" si="12"/>
        <v/>
      </c>
      <c r="N25" s="53" t="str">
        <f t="shared" si="8"/>
        <v/>
      </c>
      <c r="O25" s="59">
        <f t="shared" si="14"/>
        <v>0.1379706152433425</v>
      </c>
      <c r="P25" s="76">
        <v>6.01</v>
      </c>
      <c r="Q25" s="97" t="str">
        <f>IF(AND(TRIM(P25)&lt;&gt;"",TRIM(E25)&lt;&gt;""),(E25*127.999939675621)/P25,"")</f>
        <v/>
      </c>
      <c r="R25" s="51"/>
      <c r="S25" s="51"/>
      <c r="T25" s="51"/>
      <c r="U25" s="51"/>
      <c r="V25" s="51"/>
      <c r="W25" s="51">
        <v>0</v>
      </c>
      <c r="X25" s="51">
        <v>0</v>
      </c>
      <c r="Y25" s="53">
        <f t="shared" si="9"/>
        <v>0</v>
      </c>
    </row>
    <row r="26" spans="2:25" ht="24.6" customHeight="1" x14ac:dyDescent="0.2">
      <c r="B26" s="99" t="s">
        <v>78</v>
      </c>
      <c r="C26" s="34" t="s">
        <v>79</v>
      </c>
      <c r="D26" s="34" t="s">
        <v>80</v>
      </c>
      <c r="E26" s="74"/>
      <c r="F26" s="58">
        <v>128.22999999999999</v>
      </c>
      <c r="G26" s="58" t="str">
        <f t="shared" si="10"/>
        <v/>
      </c>
      <c r="H26" s="58">
        <v>128.22999999999999</v>
      </c>
      <c r="I26" s="58" t="str">
        <f t="shared" si="3"/>
        <v/>
      </c>
      <c r="J26" s="116">
        <f t="shared" si="4"/>
        <v>0</v>
      </c>
      <c r="K26" s="116">
        <f t="shared" si="5"/>
        <v>0</v>
      </c>
      <c r="L26" s="116">
        <f t="shared" si="6"/>
        <v>0</v>
      </c>
      <c r="M26" s="58" t="str">
        <f t="shared" si="12"/>
        <v/>
      </c>
      <c r="N26" s="53" t="str">
        <f t="shared" si="8"/>
        <v/>
      </c>
      <c r="O26" s="59">
        <f t="shared" si="14"/>
        <v>3.4499540863177227</v>
      </c>
      <c r="P26" s="76">
        <v>150.28</v>
      </c>
      <c r="Q26" s="97" t="str">
        <f>IF(AND(TRIM(P26)&lt;&gt;"",TRIM(E26)&lt;&gt;""),(E26*50)/P26,"")</f>
        <v/>
      </c>
      <c r="R26" s="60">
        <v>20</v>
      </c>
      <c r="S26" s="61">
        <v>11</v>
      </c>
      <c r="T26" s="51"/>
      <c r="U26" s="51"/>
      <c r="V26" s="51"/>
      <c r="W26" s="62">
        <f t="shared" ref="W26:W27" si="15">IF(AND(E26 &lt;&gt;"",Y$28&gt;=5000,X$28&lt;=0.07),0.01,0)</f>
        <v>0</v>
      </c>
      <c r="X26" s="62">
        <f t="shared" si="13"/>
        <v>0</v>
      </c>
      <c r="Y26" s="53">
        <f t="shared" si="9"/>
        <v>0</v>
      </c>
    </row>
    <row r="27" spans="2:25" ht="23.45" customHeight="1" x14ac:dyDescent="0.2">
      <c r="B27" s="98" t="s">
        <v>61</v>
      </c>
      <c r="C27" s="34" t="s">
        <v>81</v>
      </c>
      <c r="D27" s="34" t="s">
        <v>82</v>
      </c>
      <c r="E27" s="74"/>
      <c r="F27" s="58">
        <v>414.12</v>
      </c>
      <c r="G27" s="58" t="str">
        <f t="shared" si="10"/>
        <v/>
      </c>
      <c r="H27" s="58">
        <v>414.12</v>
      </c>
      <c r="I27" s="58" t="str">
        <f t="shared" si="3"/>
        <v/>
      </c>
      <c r="J27" s="116">
        <f t="shared" si="4"/>
        <v>0</v>
      </c>
      <c r="K27" s="116">
        <f t="shared" si="5"/>
        <v>0</v>
      </c>
      <c r="L27" s="116">
        <f t="shared" si="6"/>
        <v>0</v>
      </c>
      <c r="M27" s="58" t="str">
        <f t="shared" si="12"/>
        <v/>
      </c>
      <c r="N27" s="53" t="str">
        <f t="shared" si="8"/>
        <v/>
      </c>
      <c r="O27" s="59">
        <f t="shared" si="14"/>
        <v>2.2956841138659319E-2</v>
      </c>
      <c r="P27" s="76">
        <v>1</v>
      </c>
      <c r="Q27" s="97" t="str">
        <f>IF(AND(TRIM(P27)&lt;&gt;"",TRIM(E27)&lt;&gt;""),(E27*6)/P27,"")</f>
        <v/>
      </c>
      <c r="R27" s="51"/>
      <c r="S27" s="51"/>
      <c r="T27" s="62">
        <v>6</v>
      </c>
      <c r="U27" s="112" t="str">
        <f>IF(AND((E23+E24+E25)&gt;=T23,E27&gt;=T27),"Yes","No")</f>
        <v>No</v>
      </c>
      <c r="V27" s="114">
        <v>25</v>
      </c>
      <c r="W27" s="62">
        <f t="shared" si="15"/>
        <v>0</v>
      </c>
      <c r="X27" s="62">
        <f t="shared" si="13"/>
        <v>0</v>
      </c>
      <c r="Y27" s="53">
        <f t="shared" si="9"/>
        <v>0</v>
      </c>
    </row>
    <row r="28" spans="2:25" ht="17.45" customHeight="1" x14ac:dyDescent="0.2">
      <c r="B28" s="16"/>
      <c r="C28" s="16"/>
      <c r="D28" s="16"/>
      <c r="E28" s="45"/>
      <c r="F28" s="17"/>
      <c r="G28" s="101">
        <f>SUM(G14:G27)</f>
        <v>0</v>
      </c>
      <c r="H28" s="17"/>
      <c r="I28" s="101">
        <f>SUM(I14:I27)</f>
        <v>0</v>
      </c>
      <c r="J28" s="101">
        <f>SUM(J16:J27)</f>
        <v>0</v>
      </c>
      <c r="K28" s="101">
        <f t="shared" ref="K28:L28" si="16">SUM(K16:K27)</f>
        <v>0</v>
      </c>
      <c r="L28" s="101">
        <f t="shared" si="16"/>
        <v>0</v>
      </c>
      <c r="M28" s="41"/>
      <c r="N28" s="117">
        <f>SUM(N16:N27)</f>
        <v>0</v>
      </c>
      <c r="O28" s="18"/>
      <c r="P28" s="19"/>
      <c r="Q28" s="19"/>
      <c r="R28" s="18"/>
      <c r="S28" s="18"/>
      <c r="T28" s="18"/>
      <c r="U28" s="18"/>
      <c r="V28" s="18"/>
      <c r="W28" s="18"/>
      <c r="X28" s="115">
        <f>IF(OR(Y$28="",Y$28&lt;=5000),0,(VLOOKUP(Y28,W5:Y10,3)))</f>
        <v>0</v>
      </c>
      <c r="Y28" s="17">
        <f>SUM(Y16:Y27)</f>
        <v>0</v>
      </c>
    </row>
    <row r="29" spans="2:25" ht="12.95" customHeight="1" x14ac:dyDescent="0.35">
      <c r="D29" s="43"/>
      <c r="E29" s="43"/>
      <c r="M29" s="70"/>
      <c r="N29" s="70"/>
      <c r="O29" s="70"/>
      <c r="P29" s="70"/>
      <c r="Q29" s="70"/>
    </row>
    <row r="30" spans="2:25" ht="21.95" customHeight="1" thickBot="1" x14ac:dyDescent="0.4">
      <c r="B30" s="50" t="s">
        <v>83</v>
      </c>
      <c r="C30" s="50"/>
      <c r="D30" s="50"/>
      <c r="E30" s="50"/>
      <c r="F30" s="43"/>
      <c r="G30" s="43"/>
      <c r="H30" s="43"/>
      <c r="I30" s="187" t="s">
        <v>84</v>
      </c>
      <c r="J30" s="187"/>
      <c r="K30" s="187"/>
      <c r="L30" s="187"/>
      <c r="M30" s="187"/>
      <c r="N30" s="187"/>
      <c r="O30" s="187"/>
      <c r="P30" s="187"/>
      <c r="Q30" s="187"/>
      <c r="R30" s="20"/>
      <c r="S30" s="20"/>
      <c r="T30" s="20"/>
      <c r="U30" s="20"/>
      <c r="V30" s="20"/>
      <c r="W30" s="20"/>
      <c r="Y30" s="1"/>
    </row>
    <row r="31" spans="2:25" ht="24.95" customHeight="1" x14ac:dyDescent="0.35">
      <c r="B31" s="212" t="s">
        <v>85</v>
      </c>
      <c r="C31" s="212"/>
      <c r="D31" s="212"/>
      <c r="E31" s="212"/>
      <c r="F31" s="43"/>
      <c r="G31" s="43"/>
      <c r="H31" s="46"/>
      <c r="I31" s="187"/>
      <c r="J31" s="187"/>
      <c r="K31" s="187"/>
      <c r="L31" s="187"/>
      <c r="M31" s="187"/>
      <c r="N31" s="187"/>
      <c r="O31" s="187"/>
      <c r="P31" s="187"/>
      <c r="Q31" s="187"/>
      <c r="R31" s="47"/>
      <c r="S31" s="47"/>
      <c r="T31" s="47"/>
      <c r="U31" s="47"/>
      <c r="V31" s="47"/>
      <c r="W31" s="47"/>
      <c r="X31" s="47"/>
      <c r="Y31" s="1"/>
    </row>
    <row r="32" spans="2:25" ht="14.1" customHeight="1" x14ac:dyDescent="0.35">
      <c r="B32" s="22"/>
      <c r="C32" s="22"/>
      <c r="D32" s="22"/>
      <c r="E32" s="22"/>
      <c r="F32" s="43"/>
      <c r="G32" s="43"/>
      <c r="H32" s="21"/>
      <c r="I32" s="71"/>
      <c r="J32" s="71"/>
      <c r="K32" s="71"/>
      <c r="L32" s="71"/>
      <c r="M32" s="71"/>
      <c r="N32" s="71"/>
      <c r="O32" s="71"/>
      <c r="P32" s="71"/>
      <c r="Q32" s="71"/>
      <c r="R32" s="47"/>
      <c r="S32" s="47"/>
      <c r="T32" s="47"/>
      <c r="U32" s="47"/>
      <c r="V32" s="47"/>
      <c r="W32" s="47"/>
      <c r="X32" s="47"/>
      <c r="Y32" s="1"/>
    </row>
    <row r="33" spans="2:25" ht="17.100000000000001" customHeight="1" x14ac:dyDescent="0.2">
      <c r="B33" s="184" t="s">
        <v>86</v>
      </c>
      <c r="C33" s="185"/>
      <c r="D33" s="186"/>
      <c r="E33" s="65">
        <f>G28</f>
        <v>0</v>
      </c>
      <c r="F33" s="22"/>
      <c r="G33" s="22"/>
      <c r="H33" s="22"/>
      <c r="I33" s="180" t="s">
        <v>87</v>
      </c>
      <c r="J33" s="180"/>
      <c r="K33" s="180"/>
      <c r="L33" s="180"/>
      <c r="M33" s="180"/>
      <c r="N33" s="180"/>
      <c r="O33" s="180"/>
      <c r="P33" s="180"/>
      <c r="Q33" s="180"/>
      <c r="R33" s="73"/>
      <c r="S33" s="73"/>
      <c r="T33" s="73"/>
      <c r="U33" s="73"/>
      <c r="V33" s="73"/>
      <c r="W33" s="73"/>
      <c r="X33" s="73"/>
      <c r="Y33" s="73"/>
    </row>
    <row r="34" spans="2:25" ht="18" customHeight="1" x14ac:dyDescent="0.2">
      <c r="B34" s="181" t="s">
        <v>88</v>
      </c>
      <c r="C34" s="182"/>
      <c r="D34" s="183"/>
      <c r="E34" s="64">
        <f>E33-E35</f>
        <v>0</v>
      </c>
      <c r="F34" s="23"/>
      <c r="G34" s="22"/>
      <c r="I34" s="180"/>
      <c r="J34" s="180"/>
      <c r="K34" s="180"/>
      <c r="L34" s="180"/>
      <c r="M34" s="180"/>
      <c r="N34" s="180"/>
      <c r="O34" s="180"/>
      <c r="P34" s="180"/>
      <c r="Q34" s="180"/>
      <c r="R34" s="73"/>
      <c r="S34" s="73"/>
      <c r="T34" s="73"/>
      <c r="U34" s="73"/>
      <c r="V34" s="73"/>
      <c r="W34" s="73"/>
      <c r="X34" s="73"/>
      <c r="Y34" s="73"/>
    </row>
    <row r="35" spans="2:25" ht="18.600000000000001" customHeight="1" x14ac:dyDescent="0.2">
      <c r="B35" s="72" t="s">
        <v>89</v>
      </c>
      <c r="C35" s="105"/>
      <c r="D35" s="106"/>
      <c r="E35" s="65">
        <f>I28</f>
        <v>0</v>
      </c>
      <c r="F35" s="23"/>
      <c r="G35" s="22"/>
      <c r="H35" s="67"/>
      <c r="I35" s="180"/>
      <c r="J35" s="180"/>
      <c r="K35" s="180"/>
      <c r="L35" s="180"/>
      <c r="M35" s="180"/>
      <c r="N35" s="180"/>
      <c r="O35" s="180"/>
      <c r="P35" s="180"/>
      <c r="Q35" s="180"/>
      <c r="R35" s="24"/>
      <c r="S35" s="24"/>
      <c r="T35" s="24"/>
      <c r="U35" s="24"/>
      <c r="V35" s="24"/>
      <c r="W35" s="24"/>
    </row>
    <row r="36" spans="2:25" ht="18" customHeight="1" x14ac:dyDescent="0.2">
      <c r="B36" s="102" t="s">
        <v>90</v>
      </c>
      <c r="C36" s="103"/>
      <c r="D36" s="104"/>
      <c r="E36" s="118">
        <f>IF(AND(I28&lt;&gt;"",I28&gt; 0),L15,0)</f>
        <v>0</v>
      </c>
      <c r="F36" s="27"/>
      <c r="G36" s="28"/>
      <c r="H36" s="67"/>
      <c r="I36" s="180"/>
      <c r="J36" s="180"/>
      <c r="K36" s="180"/>
      <c r="L36" s="180"/>
      <c r="M36" s="180"/>
      <c r="N36" s="180"/>
      <c r="O36" s="180"/>
      <c r="P36" s="180"/>
      <c r="Q36" s="180"/>
      <c r="R36" s="28"/>
      <c r="S36" s="28"/>
      <c r="T36" s="28"/>
      <c r="U36" s="28"/>
      <c r="V36" s="28"/>
      <c r="W36" s="28"/>
    </row>
    <row r="37" spans="2:25" ht="18.600000000000001" customHeight="1" x14ac:dyDescent="0.2">
      <c r="B37" s="188" t="s">
        <v>91</v>
      </c>
      <c r="C37" s="189"/>
      <c r="D37" s="190"/>
      <c r="E37" s="65">
        <f>IF(E36=0,0,SUM(J16:L27))</f>
        <v>0</v>
      </c>
      <c r="F37" s="29"/>
      <c r="G37" s="28"/>
      <c r="I37" s="180"/>
      <c r="J37" s="180"/>
      <c r="K37" s="180"/>
      <c r="L37" s="180"/>
      <c r="M37" s="180"/>
      <c r="N37" s="180"/>
      <c r="O37" s="180"/>
      <c r="P37" s="180"/>
      <c r="Q37" s="180"/>
      <c r="R37" s="28"/>
      <c r="S37" s="28"/>
      <c r="T37" s="28"/>
      <c r="U37" s="28"/>
      <c r="V37" s="28"/>
      <c r="W37" s="28"/>
    </row>
    <row r="38" spans="2:25" ht="18.600000000000001" customHeight="1" x14ac:dyDescent="0.2">
      <c r="B38" s="181" t="s">
        <v>92</v>
      </c>
      <c r="C38" s="182"/>
      <c r="D38" s="183"/>
      <c r="E38" s="64">
        <f>E35-E37</f>
        <v>0</v>
      </c>
      <c r="F38" s="29"/>
      <c r="G38" s="28"/>
      <c r="H38" s="67"/>
      <c r="I38" s="180"/>
      <c r="J38" s="180"/>
      <c r="K38" s="180"/>
      <c r="L38" s="180"/>
      <c r="M38" s="180"/>
      <c r="N38" s="180"/>
      <c r="O38" s="180"/>
      <c r="P38" s="180"/>
      <c r="Q38" s="180"/>
      <c r="R38" s="28"/>
      <c r="S38" s="28"/>
      <c r="T38" s="28"/>
      <c r="U38" s="28"/>
      <c r="V38" s="28"/>
      <c r="W38" s="28"/>
    </row>
    <row r="39" spans="2:25" ht="17.45" customHeight="1" x14ac:dyDescent="0.2">
      <c r="B39" s="208" t="s">
        <v>93</v>
      </c>
      <c r="C39" s="209"/>
      <c r="D39" s="210"/>
      <c r="E39" s="129">
        <f>IF(AND(I28&lt;&gt;"",I28&gt; 0), (E37/I28),0)</f>
        <v>0</v>
      </c>
      <c r="F39" s="29"/>
      <c r="G39" s="28"/>
      <c r="H39" s="67"/>
      <c r="I39" s="180"/>
      <c r="J39" s="180"/>
      <c r="K39" s="180"/>
      <c r="L39" s="180"/>
      <c r="M39" s="180"/>
      <c r="N39" s="180"/>
      <c r="O39" s="180"/>
      <c r="P39" s="180"/>
      <c r="Q39" s="180"/>
      <c r="R39" s="28"/>
      <c r="S39" s="28"/>
      <c r="T39" s="28"/>
      <c r="U39" s="28"/>
      <c r="V39" s="28"/>
      <c r="W39" s="28"/>
    </row>
    <row r="40" spans="2:25" ht="15.95" customHeight="1" x14ac:dyDescent="0.2">
      <c r="B40" s="181" t="s">
        <v>94</v>
      </c>
      <c r="C40" s="182"/>
      <c r="D40" s="183"/>
      <c r="E40" s="64">
        <f>IF(AND(I28&lt;&gt;"",I28&gt; 0),E33-E38,0)</f>
        <v>0</v>
      </c>
      <c r="F40" s="29"/>
      <c r="G40" s="28"/>
      <c r="H40" s="67"/>
      <c r="I40" s="180"/>
      <c r="J40" s="180"/>
      <c r="K40" s="180"/>
      <c r="L40" s="180"/>
      <c r="M40" s="180"/>
      <c r="N40" s="180"/>
      <c r="O40" s="180"/>
      <c r="P40" s="180"/>
      <c r="Q40" s="180"/>
      <c r="R40" s="28"/>
      <c r="S40" s="28"/>
      <c r="T40" s="28"/>
      <c r="U40" s="28"/>
      <c r="V40" s="28"/>
      <c r="W40" s="28"/>
    </row>
    <row r="41" spans="2:25" ht="18.600000000000001" customHeight="1" x14ac:dyDescent="0.2">
      <c r="B41" s="188" t="s">
        <v>95</v>
      </c>
      <c r="C41" s="189"/>
      <c r="D41" s="190"/>
      <c r="E41" s="128">
        <f>IF(AND(E33 &lt;&gt; "", E33 &gt; 0), ((E33 - E35) + E37)/E33,0)</f>
        <v>0</v>
      </c>
      <c r="G41" s="28"/>
      <c r="H41" s="67"/>
      <c r="I41" s="180"/>
      <c r="J41" s="180"/>
      <c r="K41" s="180"/>
      <c r="L41" s="180"/>
      <c r="M41" s="180"/>
      <c r="N41" s="180"/>
      <c r="O41" s="180"/>
      <c r="P41" s="180"/>
      <c r="Q41" s="180"/>
    </row>
    <row r="42" spans="2:25" ht="25.5" customHeight="1" x14ac:dyDescent="0.2">
      <c r="B42" s="198" t="str">
        <f>CONCATENATE("Estimated MER points to be earned: ",TEXT(IF(AND(E37 &lt;&gt;"", E37 &gt; 0),E37*100, 0),"#,##0"))</f>
        <v>Estimated MER points to be earned: 0</v>
      </c>
      <c r="C42" s="199"/>
      <c r="D42" s="199"/>
      <c r="E42" s="200"/>
      <c r="H42" s="67"/>
      <c r="I42" s="94" t="s">
        <v>96</v>
      </c>
      <c r="J42" s="73"/>
      <c r="K42" s="73"/>
      <c r="L42" s="73"/>
      <c r="M42" s="73"/>
      <c r="N42" s="73"/>
      <c r="O42" s="73"/>
      <c r="P42" s="73"/>
      <c r="Q42" s="73"/>
    </row>
    <row r="43" spans="2:25" ht="12.95" customHeight="1" x14ac:dyDescent="0.2">
      <c r="B43" s="2"/>
      <c r="C43" s="2"/>
      <c r="D43" s="2"/>
      <c r="E43" s="2"/>
      <c r="M43" s="29"/>
      <c r="N43" s="29"/>
      <c r="O43" s="29"/>
    </row>
    <row r="44" spans="2:25" ht="23.1" customHeight="1" x14ac:dyDescent="0.2"/>
    <row r="45" spans="2:25" ht="14.45" customHeight="1" x14ac:dyDescent="0.2"/>
    <row r="46" spans="2:25" ht="14.45" customHeight="1" x14ac:dyDescent="0.2"/>
    <row r="47" spans="2:25" ht="12.95" customHeight="1" x14ac:dyDescent="0.2"/>
    <row r="48" spans="2:25" ht="12.95" customHeight="1" x14ac:dyDescent="0.2"/>
  </sheetData>
  <sheetProtection algorithmName="SHA-512" hashValue="s7EobunbRTTe5FxZBE+cDB7vCEBlZSdSwLUTOEFjd4mIXKwYzohRiJ/stcx6EKMhs+11zb7361vUooOBkhXUrw==" saltValue="5cklLU5f3vZuI+bsCRw1zw==" spinCount="100000" sheet="1" objects="1" scenarios="1"/>
  <mergeCells count="52">
    <mergeCell ref="C1:I1"/>
    <mergeCell ref="B31:E31"/>
    <mergeCell ref="B3:D3"/>
    <mergeCell ref="M2:Q2"/>
    <mergeCell ref="J11:L12"/>
    <mergeCell ref="O13:O15"/>
    <mergeCell ref="P13:P15"/>
    <mergeCell ref="B23:B25"/>
    <mergeCell ref="N13:N15"/>
    <mergeCell ref="C5:D5"/>
    <mergeCell ref="L13:L14"/>
    <mergeCell ref="H2:K2"/>
    <mergeCell ref="H6:H7"/>
    <mergeCell ref="B4:D4"/>
    <mergeCell ref="B2:F2"/>
    <mergeCell ref="H4:H5"/>
    <mergeCell ref="B42:E42"/>
    <mergeCell ref="S13:S15"/>
    <mergeCell ref="J13:J15"/>
    <mergeCell ref="K13:K15"/>
    <mergeCell ref="B13:B15"/>
    <mergeCell ref="C13:C15"/>
    <mergeCell ref="D13:D15"/>
    <mergeCell ref="E13:E15"/>
    <mergeCell ref="G13:G15"/>
    <mergeCell ref="Q13:Q15"/>
    <mergeCell ref="R13:R15"/>
    <mergeCell ref="M13:M15"/>
    <mergeCell ref="B39:D39"/>
    <mergeCell ref="B37:D37"/>
    <mergeCell ref="F13:F15"/>
    <mergeCell ref="B38:D38"/>
    <mergeCell ref="X13:X15"/>
    <mergeCell ref="Y13:Y15"/>
    <mergeCell ref="T13:T15"/>
    <mergeCell ref="U13:U15"/>
    <mergeCell ref="V13:V15"/>
    <mergeCell ref="W13:W15"/>
    <mergeCell ref="I33:Q41"/>
    <mergeCell ref="B34:D34"/>
    <mergeCell ref="B33:D33"/>
    <mergeCell ref="I30:Q31"/>
    <mergeCell ref="B40:D40"/>
    <mergeCell ref="B41:D41"/>
    <mergeCell ref="B10:D10"/>
    <mergeCell ref="H13:H15"/>
    <mergeCell ref="I13:I15"/>
    <mergeCell ref="H8:H9"/>
    <mergeCell ref="C6:D6"/>
    <mergeCell ref="C7:D7"/>
    <mergeCell ref="C8:D8"/>
    <mergeCell ref="C9:D9"/>
  </mergeCells>
  <conditionalFormatting sqref="B26:B27 B16:B22">
    <cfRule type="iconSet" priority="14">
      <iconSet iconSet="3Flags" showValue="0">
        <cfvo type="num" val="-1"/>
        <cfvo type="num" val="0"/>
        <cfvo type="num" val="1"/>
      </iconSet>
    </cfRule>
  </conditionalFormatting>
  <conditionalFormatting sqref="J16:L27">
    <cfRule type="cellIs" dxfId="0" priority="1" operator="equal">
      <formula>0</formula>
    </cfRule>
  </conditionalFormatting>
  <dataValidations count="9">
    <dataValidation type="whole" allowBlank="1" showInputMessage="1" showErrorMessage="1" errorTitle="# Units Error" error="Must be 26 or greater." sqref="E25" xr:uid="{A906F217-68CA-41AC-BD4F-0A698EE773F5}">
      <formula1>26</formula1>
      <formula2>9999999</formula2>
    </dataValidation>
    <dataValidation type="whole" allowBlank="1" showInputMessage="1" showErrorMessage="1" errorTitle="# Units Error" error="Must be between 14 and 25" sqref="E24" xr:uid="{547D911F-CF01-4A98-BB5D-4E890714FF4E}">
      <formula1>14</formula1>
      <formula2>25</formula2>
    </dataValidation>
    <dataValidation type="whole" allowBlank="1" showInputMessage="1" showErrorMessage="1" errorTitle="# Units Error" error="Must be between 1 and 13" sqref="E23" xr:uid="{81604C64-0BF1-40F3-A0C1-8728973607A4}">
      <formula1>1</formula1>
      <formula2>13</formula2>
    </dataValidation>
    <dataValidation type="decimal" errorStyle="warning" allowBlank="1" showInputMessage="1" showErrorMessage="1" errorTitle="Use Rate Error" error="Must be between 1.0000 and 2.0000" sqref="O21" xr:uid="{88A8AF1F-5E86-4905-9848-96435BFEF830}">
      <formula1>1</formula1>
      <formula2>2</formula2>
    </dataValidation>
    <dataValidation type="decimal" errorStyle="warning" allowBlank="1" showInputMessage="1" showErrorMessage="1" errorTitle="Use Rate Error" error="Must be between 2.0000 and 7.0000" sqref="O19:O20" xr:uid="{9EDC1996-F2C3-496F-A1BE-7C6D218C0339}">
      <formula1>2</formula1>
      <formula2>7</formula2>
    </dataValidation>
    <dataValidation type="whole" allowBlank="1" showInputMessage="1" showErrorMessage="1" errorTitle="# Units Error" error="Must be 6 or greater." sqref="E18 E20" xr:uid="{8453CA78-5E43-4C46-A973-8F260F0C8BE8}">
      <formula1>6</formula1>
      <formula2>9999999</formula2>
    </dataValidation>
    <dataValidation type="whole" allowBlank="1" showInputMessage="1" showErrorMessage="1" errorTitle="# Units Error" error="Must be between 1 and 5" sqref="E17 E19" xr:uid="{77E775A9-8736-4E93-B8C6-B98F1FDD1B92}">
      <formula1>1</formula1>
      <formula2>5</formula2>
    </dataValidation>
    <dataValidation type="whole" allowBlank="1" showInputMessage="1" showErrorMessage="1" errorTitle="# Units Error" error="Must be greater than 1." sqref="E26:E27 E21:E22" xr:uid="{7601B1B7-BC94-472E-817E-8962C2D97F4C}">
      <formula1>1</formula1>
      <formula2>9999999</formula2>
    </dataValidation>
    <dataValidation type="whole" allowBlank="1" showInputMessage="1" showErrorMessage="1" errorTitle="# Units Error" error="Must be greater than 1." sqref="E16" xr:uid="{7C56508A-A6E7-4B52-A63C-588EB7170EE8}">
      <formula1>1</formula1>
      <formula2>999999</formula2>
    </dataValidation>
  </dataValidations>
  <pageMargins left="0.75" right="0.75" top="0.75" bottom="0.5" header="0.5" footer="0.75"/>
  <pageSetup scale="60" orientation="landscape" horizontalDpi="1200" verticalDpi="1200" r:id="rId1"/>
  <customProperties>
    <customPr name="Ibp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76625-3F39-4416-A4F0-7E89DF0CEA10}">
  <sheetPr codeName="Sheet2"/>
  <dimension ref="A1:F85"/>
  <sheetViews>
    <sheetView zoomScaleNormal="100" workbookViewId="0">
      <selection activeCell="N28" sqref="N28"/>
    </sheetView>
  </sheetViews>
  <sheetFormatPr defaultRowHeight="15" x14ac:dyDescent="0.25"/>
  <cols>
    <col min="1" max="1" width="29.140625" customWidth="1"/>
    <col min="2" max="2" width="13.140625" customWidth="1"/>
    <col min="3" max="3" width="7.140625" style="32" customWidth="1"/>
    <col min="4" max="4" width="10.42578125" customWidth="1"/>
    <col min="5" max="6" width="14.140625" customWidth="1"/>
  </cols>
  <sheetData>
    <row r="1" spans="1:6" x14ac:dyDescent="0.25">
      <c r="A1" s="39"/>
      <c r="B1" s="39"/>
      <c r="C1" s="39"/>
      <c r="D1" s="39"/>
      <c r="E1" s="40"/>
      <c r="F1" s="37"/>
    </row>
    <row r="2" spans="1:6" ht="21" x14ac:dyDescent="0.25">
      <c r="A2" s="237" t="str">
        <f>'2023 NOW-CALCULATOR'!B4</f>
        <v>NAME YOUR DRAFT ORDER HERE</v>
      </c>
      <c r="B2" s="238"/>
      <c r="C2" s="238"/>
      <c r="D2" s="239"/>
      <c r="E2" s="40"/>
      <c r="F2" s="37"/>
    </row>
    <row r="3" spans="1:6" x14ac:dyDescent="0.25">
      <c r="A3" s="85" t="s">
        <v>19</v>
      </c>
      <c r="B3" s="249" t="str">
        <f>IF('2023 NOW-CALCULATOR'!C5="","",'2023 NOW-CALCULATOR'!C5)</f>
        <v/>
      </c>
      <c r="C3" s="250"/>
      <c r="D3" s="251"/>
      <c r="E3" s="40"/>
      <c r="F3" s="37"/>
    </row>
    <row r="4" spans="1:6" x14ac:dyDescent="0.25">
      <c r="A4" s="86" t="s">
        <v>97</v>
      </c>
      <c r="B4" s="249" t="str">
        <f>IF('2023 NOW-CALCULATOR'!C6="","",'2023 NOW-CALCULATOR'!C6)</f>
        <v/>
      </c>
      <c r="C4" s="250"/>
      <c r="D4" s="251"/>
      <c r="E4" s="40"/>
      <c r="F4" s="37"/>
    </row>
    <row r="5" spans="1:6" x14ac:dyDescent="0.25">
      <c r="A5" s="87" t="s">
        <v>25</v>
      </c>
      <c r="B5" s="249" t="str">
        <f>IF('2023 NOW-CALCULATOR'!C7="","",'2023 NOW-CALCULATOR'!C7)</f>
        <v/>
      </c>
      <c r="C5" s="250"/>
      <c r="D5" s="251"/>
      <c r="E5" s="40"/>
      <c r="F5" s="37"/>
    </row>
    <row r="6" spans="1:6" x14ac:dyDescent="0.25">
      <c r="A6" s="88" t="s">
        <v>27</v>
      </c>
      <c r="B6" s="249" t="str">
        <f>IF('2023 NOW-CALCULATOR'!C8="","",'2023 NOW-CALCULATOR'!C8)</f>
        <v/>
      </c>
      <c r="C6" s="250"/>
      <c r="D6" s="251"/>
      <c r="E6" s="40"/>
      <c r="F6" s="37"/>
    </row>
    <row r="7" spans="1:6" x14ac:dyDescent="0.25">
      <c r="A7" s="88" t="s">
        <v>29</v>
      </c>
      <c r="B7" s="252" t="str">
        <f>IF('2023 NOW-CALCULATOR'!C9="","",'2023 NOW-CALCULATOR'!C9)</f>
        <v/>
      </c>
      <c r="C7" s="253"/>
      <c r="D7" s="254"/>
      <c r="E7" s="40"/>
      <c r="F7" s="37"/>
    </row>
    <row r="8" spans="1:6" ht="26.45" customHeight="1" x14ac:dyDescent="0.25">
      <c r="A8" s="37" t="s">
        <v>98</v>
      </c>
      <c r="B8" s="37"/>
      <c r="C8" s="38"/>
      <c r="D8" s="37"/>
      <c r="E8" s="37"/>
      <c r="F8" s="37"/>
    </row>
    <row r="9" spans="1:6" x14ac:dyDescent="0.25">
      <c r="A9" s="108" t="s">
        <v>99</v>
      </c>
      <c r="B9" s="109"/>
      <c r="C9" s="110"/>
      <c r="D9" s="109"/>
      <c r="E9" s="109"/>
      <c r="F9" s="109"/>
    </row>
    <row r="10" spans="1:6" x14ac:dyDescent="0.25">
      <c r="A10" s="255" t="s">
        <v>37</v>
      </c>
      <c r="B10" s="255" t="s">
        <v>38</v>
      </c>
      <c r="C10" s="257" t="s">
        <v>39</v>
      </c>
      <c r="D10" s="247" t="s">
        <v>100</v>
      </c>
      <c r="E10" s="247" t="s">
        <v>101</v>
      </c>
      <c r="F10" s="247" t="s">
        <v>102</v>
      </c>
    </row>
    <row r="11" spans="1:6" x14ac:dyDescent="0.25">
      <c r="A11" s="256"/>
      <c r="B11" s="256"/>
      <c r="C11" s="258"/>
      <c r="D11" s="248"/>
      <c r="E11" s="248"/>
      <c r="F11" s="248"/>
    </row>
    <row r="12" spans="1:6" x14ac:dyDescent="0.25">
      <c r="A12" s="256"/>
      <c r="B12" s="256"/>
      <c r="C12" s="258"/>
      <c r="D12" s="248"/>
      <c r="E12" s="248"/>
      <c r="F12" s="248"/>
    </row>
    <row r="13" spans="1:6" x14ac:dyDescent="0.25">
      <c r="A13" s="95" t="s">
        <v>103</v>
      </c>
      <c r="B13" s="34" t="s">
        <v>60</v>
      </c>
      <c r="C13" s="107">
        <f>'2023 NOW-CALCULATOR'!E16</f>
        <v>0</v>
      </c>
      <c r="D13" s="35">
        <f>'2023 NOW-CALCULATOR'!H16</f>
        <v>128.54</v>
      </c>
      <c r="E13" s="7" t="str">
        <f>'2023 NOW-CALCULATOR'!I16</f>
        <v/>
      </c>
      <c r="F13" s="7" t="str">
        <f>'2023 NOW-CALCULATOR'!M16</f>
        <v/>
      </c>
    </row>
    <row r="14" spans="1:6" x14ac:dyDescent="0.25">
      <c r="A14" s="95" t="s">
        <v>62</v>
      </c>
      <c r="B14" s="34" t="s">
        <v>63</v>
      </c>
      <c r="C14" s="107">
        <f>'2023 NOW-CALCULATOR'!E17</f>
        <v>0</v>
      </c>
      <c r="D14" s="35">
        <f>'2023 NOW-CALCULATOR'!H17</f>
        <v>1966.87</v>
      </c>
      <c r="E14" s="7" t="str">
        <f>'2023 NOW-CALCULATOR'!I17</f>
        <v/>
      </c>
      <c r="F14" s="7" t="str">
        <f>'2023 NOW-CALCULATOR'!M17</f>
        <v/>
      </c>
    </row>
    <row r="15" spans="1:6" x14ac:dyDescent="0.25">
      <c r="A15" s="95" t="s">
        <v>64</v>
      </c>
      <c r="B15" s="34" t="s">
        <v>63</v>
      </c>
      <c r="C15" s="107">
        <f>'2023 NOW-CALCULATOR'!E18</f>
        <v>0</v>
      </c>
      <c r="D15" s="35">
        <f>'2023 NOW-CALCULATOR'!H18</f>
        <v>1770.2</v>
      </c>
      <c r="E15" s="7" t="str">
        <f>'2023 NOW-CALCULATOR'!I18</f>
        <v/>
      </c>
      <c r="F15" s="7" t="str">
        <f>'2023 NOW-CALCULATOR'!M18</f>
        <v/>
      </c>
    </row>
    <row r="16" spans="1:6" x14ac:dyDescent="0.25">
      <c r="A16" s="95" t="s">
        <v>65</v>
      </c>
      <c r="B16" s="34" t="s">
        <v>66</v>
      </c>
      <c r="C16" s="107">
        <f>'2023 NOW-CALCULATOR'!E19</f>
        <v>0</v>
      </c>
      <c r="D16" s="35">
        <f>'2023 NOW-CALCULATOR'!H19</f>
        <v>573.20000000000005</v>
      </c>
      <c r="E16" s="7" t="str">
        <f>'2023 NOW-CALCULATOR'!I19</f>
        <v/>
      </c>
      <c r="F16" s="7" t="str">
        <f>'2023 NOW-CALCULATOR'!M19</f>
        <v/>
      </c>
    </row>
    <row r="17" spans="1:6" x14ac:dyDescent="0.25">
      <c r="A17" s="95" t="s">
        <v>68</v>
      </c>
      <c r="B17" s="34" t="s">
        <v>66</v>
      </c>
      <c r="C17" s="107">
        <f>'2023 NOW-CALCULATOR'!E20</f>
        <v>0</v>
      </c>
      <c r="D17" s="35">
        <f>'2023 NOW-CALCULATOR'!H20</f>
        <v>504.25</v>
      </c>
      <c r="E17" s="7" t="str">
        <f>'2023 NOW-CALCULATOR'!I20</f>
        <v/>
      </c>
      <c r="F17" s="7" t="str">
        <f>'2023 NOW-CALCULATOR'!M20</f>
        <v/>
      </c>
    </row>
    <row r="18" spans="1:6" x14ac:dyDescent="0.25">
      <c r="A18" s="95" t="s">
        <v>70</v>
      </c>
      <c r="B18" s="34" t="s">
        <v>66</v>
      </c>
      <c r="C18" s="107">
        <f>'2023 NOW-CALCULATOR'!E21</f>
        <v>0</v>
      </c>
      <c r="D18" s="35">
        <f>'2023 NOW-CALCULATOR'!H21</f>
        <v>497.8</v>
      </c>
      <c r="E18" s="7" t="str">
        <f>'2023 NOW-CALCULATOR'!I21</f>
        <v/>
      </c>
      <c r="F18" s="7" t="str">
        <f>'2023 NOW-CALCULATOR'!M21</f>
        <v/>
      </c>
    </row>
    <row r="19" spans="1:6" x14ac:dyDescent="0.25">
      <c r="A19" s="95" t="s">
        <v>71</v>
      </c>
      <c r="B19" s="34" t="s">
        <v>72</v>
      </c>
      <c r="C19" s="107">
        <f>'2023 NOW-CALCULATOR'!E22</f>
        <v>0</v>
      </c>
      <c r="D19" s="35">
        <f>'2023 NOW-CALCULATOR'!H22</f>
        <v>759.26</v>
      </c>
      <c r="E19" s="7" t="str">
        <f>'2023 NOW-CALCULATOR'!I22</f>
        <v/>
      </c>
      <c r="F19" s="7" t="str">
        <f>'2023 NOW-CALCULATOR'!M22</f>
        <v/>
      </c>
    </row>
    <row r="20" spans="1:6" x14ac:dyDescent="0.25">
      <c r="A20" s="96" t="s">
        <v>74</v>
      </c>
      <c r="B20" s="63" t="s">
        <v>75</v>
      </c>
      <c r="C20" s="107">
        <f>'2023 NOW-CALCULATOR'!E23</f>
        <v>0</v>
      </c>
      <c r="D20" s="35">
        <f>'2023 NOW-CALCULATOR'!H23</f>
        <v>2075.38</v>
      </c>
      <c r="E20" s="7" t="str">
        <f>'2023 NOW-CALCULATOR'!I23</f>
        <v/>
      </c>
      <c r="F20" s="7" t="str">
        <f>'2023 NOW-CALCULATOR'!M23</f>
        <v/>
      </c>
    </row>
    <row r="21" spans="1:6" x14ac:dyDescent="0.25">
      <c r="A21" s="96" t="s">
        <v>76</v>
      </c>
      <c r="B21" s="63" t="s">
        <v>75</v>
      </c>
      <c r="C21" s="107">
        <f>'2023 NOW-CALCULATOR'!E24</f>
        <v>0</v>
      </c>
      <c r="D21" s="35">
        <f>'2023 NOW-CALCULATOR'!H24</f>
        <v>1781.42</v>
      </c>
      <c r="E21" s="7" t="str">
        <f>'2023 NOW-CALCULATOR'!I24</f>
        <v/>
      </c>
      <c r="F21" s="7" t="str">
        <f>'2023 NOW-CALCULATOR'!M24</f>
        <v/>
      </c>
    </row>
    <row r="22" spans="1:6" x14ac:dyDescent="0.25">
      <c r="A22" s="96" t="s">
        <v>77</v>
      </c>
      <c r="B22" s="63" t="s">
        <v>75</v>
      </c>
      <c r="C22" s="107">
        <f>'2023 NOW-CALCULATOR'!E25</f>
        <v>0</v>
      </c>
      <c r="D22" s="35">
        <f>'2023 NOW-CALCULATOR'!H25</f>
        <v>1600.27</v>
      </c>
      <c r="E22" s="7" t="str">
        <f>'2023 NOW-CALCULATOR'!I25</f>
        <v/>
      </c>
      <c r="F22" s="7" t="str">
        <f>'2023 NOW-CALCULATOR'!M25</f>
        <v/>
      </c>
    </row>
    <row r="23" spans="1:6" x14ac:dyDescent="0.25">
      <c r="A23" s="95" t="s">
        <v>79</v>
      </c>
      <c r="B23" s="34" t="s">
        <v>80</v>
      </c>
      <c r="C23" s="107">
        <f>'2023 NOW-CALCULATOR'!E26</f>
        <v>0</v>
      </c>
      <c r="D23" s="35">
        <f>'2023 NOW-CALCULATOR'!H26</f>
        <v>128.22999999999999</v>
      </c>
      <c r="E23" s="7" t="str">
        <f>'2023 NOW-CALCULATOR'!I26</f>
        <v/>
      </c>
      <c r="F23" s="7" t="str">
        <f>'2023 NOW-CALCULATOR'!M26</f>
        <v/>
      </c>
    </row>
    <row r="24" spans="1:6" x14ac:dyDescent="0.25">
      <c r="A24" s="95" t="s">
        <v>81</v>
      </c>
      <c r="B24" s="34" t="s">
        <v>82</v>
      </c>
      <c r="C24" s="107">
        <f>'2023 NOW-CALCULATOR'!E27</f>
        <v>0</v>
      </c>
      <c r="D24" s="35">
        <f>'2023 NOW-CALCULATOR'!H27</f>
        <v>414.12</v>
      </c>
      <c r="E24" s="7" t="str">
        <f>'2023 NOW-CALCULATOR'!I27</f>
        <v/>
      </c>
      <c r="F24" s="7" t="str">
        <f>'2023 NOW-CALCULATOR'!M27</f>
        <v/>
      </c>
    </row>
    <row r="25" spans="1:6" x14ac:dyDescent="0.25">
      <c r="A25" s="119"/>
      <c r="B25" s="120"/>
      <c r="C25" s="121"/>
      <c r="D25" s="122"/>
      <c r="E25" s="123">
        <f>SUM(E13:E24)</f>
        <v>0</v>
      </c>
      <c r="F25" s="123"/>
    </row>
    <row r="26" spans="1:6" ht="16.5" thickBot="1" x14ac:dyDescent="0.3">
      <c r="A26" s="246" t="s">
        <v>83</v>
      </c>
      <c r="B26" s="246"/>
      <c r="C26" s="246"/>
      <c r="D26" s="246"/>
      <c r="E26" s="246"/>
    </row>
    <row r="27" spans="1:6" ht="15.75" thickTop="1" x14ac:dyDescent="0.25">
      <c r="A27" s="240" t="s">
        <v>85</v>
      </c>
      <c r="B27" s="240"/>
      <c r="C27" s="240"/>
      <c r="D27" s="240"/>
      <c r="E27" s="240"/>
    </row>
    <row r="28" spans="1:6" x14ac:dyDescent="0.25">
      <c r="A28" s="241"/>
      <c r="B28" s="241"/>
      <c r="C28" s="241"/>
      <c r="D28" s="241"/>
      <c r="E28" s="241"/>
    </row>
    <row r="29" spans="1:6" x14ac:dyDescent="0.25">
      <c r="A29" s="242"/>
      <c r="B29" s="242"/>
      <c r="C29" s="242"/>
      <c r="D29" s="242"/>
      <c r="E29" s="242"/>
    </row>
    <row r="30" spans="1:6" x14ac:dyDescent="0.25">
      <c r="A30" s="243" t="s">
        <v>104</v>
      </c>
      <c r="B30" s="244"/>
      <c r="C30" s="244"/>
      <c r="D30" s="245"/>
      <c r="E30" s="25">
        <f>'2023 NOW-CALCULATOR'!E33</f>
        <v>0</v>
      </c>
    </row>
    <row r="31" spans="1:6" x14ac:dyDescent="0.25">
      <c r="A31" s="231" t="s">
        <v>88</v>
      </c>
      <c r="B31" s="232"/>
      <c r="C31" s="232"/>
      <c r="D31" s="233"/>
      <c r="E31" s="26">
        <f>'2023 NOW-CALCULATOR'!E34</f>
        <v>0</v>
      </c>
    </row>
    <row r="32" spans="1:6" x14ac:dyDescent="0.25">
      <c r="A32" s="243" t="s">
        <v>105</v>
      </c>
      <c r="B32" s="244"/>
      <c r="C32" s="244"/>
      <c r="D32" s="245"/>
      <c r="E32" s="25">
        <f>'2023 NOW-CALCULATOR'!E35</f>
        <v>0</v>
      </c>
    </row>
    <row r="33" spans="1:5" x14ac:dyDescent="0.25">
      <c r="A33" s="231" t="s">
        <v>106</v>
      </c>
      <c r="B33" s="232"/>
      <c r="C33" s="232"/>
      <c r="D33" s="233"/>
      <c r="E33" s="127">
        <f>'2023 NOW-CALCULATOR'!E36</f>
        <v>0</v>
      </c>
    </row>
    <row r="34" spans="1:5" x14ac:dyDescent="0.25">
      <c r="A34" s="243" t="s">
        <v>107</v>
      </c>
      <c r="B34" s="244"/>
      <c r="C34" s="244"/>
      <c r="D34" s="245"/>
      <c r="E34" s="26">
        <f>'2023 NOW-CALCULATOR'!E37</f>
        <v>0</v>
      </c>
    </row>
    <row r="35" spans="1:5" x14ac:dyDescent="0.25">
      <c r="A35" s="231" t="s">
        <v>108</v>
      </c>
      <c r="B35" s="232"/>
      <c r="C35" s="232"/>
      <c r="D35" s="233"/>
      <c r="E35" s="25">
        <f>'2023 NOW-CALCULATOR'!E38</f>
        <v>0</v>
      </c>
    </row>
    <row r="36" spans="1:5" x14ac:dyDescent="0.25">
      <c r="A36" s="243" t="s">
        <v>109</v>
      </c>
      <c r="B36" s="244"/>
      <c r="C36" s="244"/>
      <c r="D36" s="245"/>
      <c r="E36" s="36">
        <f>'2023 NOW-CALCULATOR'!E39</f>
        <v>0</v>
      </c>
    </row>
    <row r="37" spans="1:5" x14ac:dyDescent="0.25">
      <c r="A37" s="124" t="s">
        <v>110</v>
      </c>
      <c r="B37" s="125"/>
      <c r="C37" s="125"/>
      <c r="D37" s="126"/>
      <c r="E37" s="131">
        <f>'2023 NOW-CALCULATOR'!E40</f>
        <v>0</v>
      </c>
    </row>
    <row r="38" spans="1:5" x14ac:dyDescent="0.25">
      <c r="A38" s="231" t="s">
        <v>111</v>
      </c>
      <c r="B38" s="232"/>
      <c r="C38" s="232"/>
      <c r="D38" s="233"/>
      <c r="E38" s="130">
        <f>'2023 NOW-CALCULATOR'!E41</f>
        <v>0</v>
      </c>
    </row>
    <row r="39" spans="1:5" ht="18.75" x14ac:dyDescent="0.25">
      <c r="A39" s="234" t="str">
        <f>CONCATENATE("Estimated MER points to be earned in the Product Cart: ",TEXT(IF(AND(E34 &lt;&gt;"", E34 &gt; 0),E34*100, 0),"#,##0"))</f>
        <v>Estimated MER points to be earned in the Product Cart: 0</v>
      </c>
      <c r="B39" s="235"/>
      <c r="C39" s="235"/>
      <c r="D39" s="235"/>
      <c r="E39" s="236"/>
    </row>
    <row r="75" ht="8.4499999999999993" customHeight="1" x14ac:dyDescent="0.25"/>
    <row r="76" ht="12" customHeight="1" x14ac:dyDescent="0.25"/>
    <row r="77" ht="9" customHeight="1" x14ac:dyDescent="0.25"/>
    <row r="85" ht="17.45" customHeight="1" x14ac:dyDescent="0.25"/>
  </sheetData>
  <sheetProtection sheet="1" objects="1" scenarios="1"/>
  <mergeCells count="23">
    <mergeCell ref="B7:D7"/>
    <mergeCell ref="A33:D33"/>
    <mergeCell ref="F10:F12"/>
    <mergeCell ref="A10:A12"/>
    <mergeCell ref="B10:B12"/>
    <mergeCell ref="C10:C12"/>
    <mergeCell ref="D10:D12"/>
    <mergeCell ref="A38:D38"/>
    <mergeCell ref="A39:E39"/>
    <mergeCell ref="A2:D2"/>
    <mergeCell ref="A27:E29"/>
    <mergeCell ref="A30:D30"/>
    <mergeCell ref="A31:D31"/>
    <mergeCell ref="A32:D32"/>
    <mergeCell ref="A34:D34"/>
    <mergeCell ref="A35:D35"/>
    <mergeCell ref="A36:D36"/>
    <mergeCell ref="A26:E26"/>
    <mergeCell ref="E10:E12"/>
    <mergeCell ref="B3:D3"/>
    <mergeCell ref="B4:D4"/>
    <mergeCell ref="B5:D5"/>
    <mergeCell ref="B6:D6"/>
  </mergeCells>
  <phoneticPr fontId="23" type="noConversion"/>
  <pageMargins left="0.7" right="0.7" top="0.75" bottom="0.75" header="0.3" footer="0.3"/>
  <pageSetup orientation="portrait"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9770-3C8F-40EC-B9D3-77D3A62B9166}">
  <dimension ref="B3:G34"/>
  <sheetViews>
    <sheetView workbookViewId="0">
      <selection activeCell="J16" sqref="J16"/>
    </sheetView>
  </sheetViews>
  <sheetFormatPr defaultRowHeight="15" x14ac:dyDescent="0.25"/>
  <cols>
    <col min="2" max="2" width="31.7109375" customWidth="1"/>
    <col min="3" max="7" width="21.85546875" customWidth="1"/>
  </cols>
  <sheetData>
    <row r="3" spans="2:7" x14ac:dyDescent="0.25">
      <c r="B3" s="259" t="s">
        <v>112</v>
      </c>
      <c r="C3" s="260"/>
      <c r="D3" s="260"/>
      <c r="E3" s="260"/>
      <c r="F3" s="260"/>
      <c r="G3" s="261"/>
    </row>
    <row r="4" spans="2:7" x14ac:dyDescent="0.25">
      <c r="B4" s="262"/>
      <c r="C4" s="263"/>
      <c r="D4" s="263"/>
      <c r="E4" s="263"/>
      <c r="F4" s="263"/>
      <c r="G4" s="264"/>
    </row>
    <row r="5" spans="2:7" x14ac:dyDescent="0.25">
      <c r="B5" s="262"/>
      <c r="C5" s="263"/>
      <c r="D5" s="263"/>
      <c r="E5" s="263"/>
      <c r="F5" s="263"/>
      <c r="G5" s="264"/>
    </row>
    <row r="6" spans="2:7" x14ac:dyDescent="0.25">
      <c r="B6" s="265"/>
      <c r="C6" s="266"/>
      <c r="D6" s="266"/>
      <c r="E6" s="266"/>
      <c r="F6" s="266"/>
      <c r="G6" s="267"/>
    </row>
    <row r="7" spans="2:7" x14ac:dyDescent="0.25">
      <c r="B7" s="162"/>
      <c r="C7" s="162"/>
      <c r="D7" s="163"/>
      <c r="E7" s="162"/>
      <c r="F7" s="164"/>
      <c r="G7" s="165"/>
    </row>
    <row r="8" spans="2:7" x14ac:dyDescent="0.25">
      <c r="B8" s="8" t="s">
        <v>113</v>
      </c>
      <c r="C8" s="8" t="s">
        <v>38</v>
      </c>
      <c r="D8" s="9" t="s">
        <v>39</v>
      </c>
      <c r="E8" s="8" t="s">
        <v>114</v>
      </c>
      <c r="F8" s="10" t="s">
        <v>49</v>
      </c>
      <c r="G8" s="14" t="s">
        <v>115</v>
      </c>
    </row>
    <row r="9" spans="2:7" x14ac:dyDescent="0.25">
      <c r="B9" s="15" t="s">
        <v>116</v>
      </c>
      <c r="C9" s="13" t="s">
        <v>75</v>
      </c>
      <c r="D9" s="11">
        <v>2</v>
      </c>
      <c r="E9" s="6" t="s">
        <v>117</v>
      </c>
      <c r="F9" s="12">
        <v>0.13800000000000001</v>
      </c>
      <c r="G9" s="42">
        <f>(D9*127.999939675621)/(F9*43.56)</f>
        <v>42.586583781031983</v>
      </c>
    </row>
    <row r="10" spans="2:7" x14ac:dyDescent="0.25">
      <c r="B10" s="15" t="s">
        <v>118</v>
      </c>
      <c r="C10" s="13" t="s">
        <v>82</v>
      </c>
      <c r="D10" s="11">
        <v>6</v>
      </c>
      <c r="E10" s="6" t="s">
        <v>119</v>
      </c>
      <c r="F10" s="12">
        <v>2.3E-2</v>
      </c>
      <c r="G10" s="42">
        <f>(D10*6)/(F10*43.56)</f>
        <v>35.932446999640675</v>
      </c>
    </row>
    <row r="12" spans="2:7" x14ac:dyDescent="0.25">
      <c r="B12" s="259" t="s">
        <v>120</v>
      </c>
      <c r="C12" s="268"/>
      <c r="D12" s="268"/>
      <c r="E12" s="268"/>
      <c r="F12" s="268"/>
      <c r="G12" s="269"/>
    </row>
    <row r="13" spans="2:7" x14ac:dyDescent="0.25">
      <c r="B13" s="270"/>
      <c r="C13" s="271"/>
      <c r="D13" s="271"/>
      <c r="E13" s="271"/>
      <c r="F13" s="271"/>
      <c r="G13" s="272"/>
    </row>
    <row r="14" spans="2:7" ht="24.95" customHeight="1" x14ac:dyDescent="0.25">
      <c r="B14" s="273"/>
      <c r="C14" s="274"/>
      <c r="D14" s="274"/>
      <c r="E14" s="274"/>
      <c r="F14" s="274"/>
      <c r="G14" s="275"/>
    </row>
    <row r="15" spans="2:7" x14ac:dyDescent="0.25">
      <c r="B15" s="162"/>
      <c r="C15" s="162"/>
      <c r="D15" s="163"/>
      <c r="E15" s="162"/>
      <c r="F15" s="164"/>
      <c r="G15" s="165"/>
    </row>
    <row r="16" spans="2:7" x14ac:dyDescent="0.25">
      <c r="B16" s="8" t="s">
        <v>113</v>
      </c>
      <c r="C16" s="8" t="s">
        <v>38</v>
      </c>
      <c r="D16" s="9" t="s">
        <v>39</v>
      </c>
      <c r="E16" s="8" t="s">
        <v>114</v>
      </c>
      <c r="F16" s="10" t="s">
        <v>49</v>
      </c>
      <c r="G16" s="14" t="s">
        <v>115</v>
      </c>
    </row>
    <row r="17" spans="2:7" x14ac:dyDescent="0.25">
      <c r="B17" s="15" t="s">
        <v>121</v>
      </c>
      <c r="C17" s="13" t="s">
        <v>66</v>
      </c>
      <c r="D17" s="11">
        <v>6</v>
      </c>
      <c r="E17" s="6" t="s">
        <v>122</v>
      </c>
      <c r="F17" s="12">
        <v>4</v>
      </c>
      <c r="G17" s="42">
        <f>(D17*319.999849189052)/(F17*43.56)</f>
        <v>11.01927855334201</v>
      </c>
    </row>
    <row r="18" spans="2:7" x14ac:dyDescent="0.25">
      <c r="B18" s="15" t="s">
        <v>123</v>
      </c>
      <c r="C18" s="13" t="s">
        <v>66</v>
      </c>
      <c r="D18" s="11">
        <v>2</v>
      </c>
      <c r="E18" s="6" t="s">
        <v>124</v>
      </c>
      <c r="F18" s="12">
        <v>1</v>
      </c>
      <c r="G18" s="42">
        <f>(D18*319.999849189052)/(F18*43.56)</f>
        <v>14.692371404456013</v>
      </c>
    </row>
    <row r="20" spans="2:7" ht="14.45" customHeight="1" x14ac:dyDescent="0.25">
      <c r="B20" s="259" t="s">
        <v>125</v>
      </c>
      <c r="C20" s="260"/>
      <c r="D20" s="260"/>
      <c r="E20" s="260"/>
      <c r="F20" s="260"/>
      <c r="G20" s="261"/>
    </row>
    <row r="21" spans="2:7" ht="14.45" customHeight="1" x14ac:dyDescent="0.25">
      <c r="B21" s="262"/>
      <c r="C21" s="263"/>
      <c r="D21" s="263"/>
      <c r="E21" s="263"/>
      <c r="F21" s="263"/>
      <c r="G21" s="264"/>
    </row>
    <row r="22" spans="2:7" ht="14.45" customHeight="1" x14ac:dyDescent="0.25">
      <c r="B22" s="265"/>
      <c r="C22" s="266"/>
      <c r="D22" s="266"/>
      <c r="E22" s="266"/>
      <c r="F22" s="266"/>
      <c r="G22" s="267"/>
    </row>
    <row r="23" spans="2:7" ht="14.45" customHeight="1" x14ac:dyDescent="0.25">
      <c r="B23" s="159"/>
      <c r="C23" s="160"/>
      <c r="D23" s="160"/>
      <c r="E23" s="160"/>
      <c r="F23" s="160"/>
      <c r="G23" s="161"/>
    </row>
    <row r="24" spans="2:7" ht="15" customHeight="1" x14ac:dyDescent="0.25">
      <c r="B24" s="148" t="s">
        <v>113</v>
      </c>
      <c r="C24" s="145" t="s">
        <v>38</v>
      </c>
      <c r="D24" s="145" t="s">
        <v>39</v>
      </c>
      <c r="E24" s="145" t="s">
        <v>114</v>
      </c>
      <c r="F24" s="145" t="s">
        <v>49</v>
      </c>
      <c r="G24" s="149" t="s">
        <v>115</v>
      </c>
    </row>
    <row r="25" spans="2:7" x14ac:dyDescent="0.25">
      <c r="B25" s="150" t="s">
        <v>126</v>
      </c>
      <c r="C25" s="146" t="s">
        <v>60</v>
      </c>
      <c r="D25" s="146">
        <v>16</v>
      </c>
      <c r="E25" s="146" t="s">
        <v>127</v>
      </c>
      <c r="F25" s="147">
        <v>0.113</v>
      </c>
      <c r="G25" s="151">
        <v>32.51</v>
      </c>
    </row>
    <row r="26" spans="2:7" x14ac:dyDescent="0.25">
      <c r="B26" s="152" t="s">
        <v>128</v>
      </c>
      <c r="C26" s="153" t="s">
        <v>129</v>
      </c>
      <c r="D26" s="153">
        <v>2</v>
      </c>
      <c r="E26" s="153" t="s">
        <v>117</v>
      </c>
      <c r="F26" s="154">
        <v>0.13800000000000001</v>
      </c>
      <c r="G26" s="155">
        <v>42.59</v>
      </c>
    </row>
    <row r="31" spans="2:7" ht="14.45" customHeight="1" x14ac:dyDescent="0.25"/>
    <row r="32" spans="2:7" ht="14.45" customHeight="1" x14ac:dyDescent="0.25"/>
    <row r="33" ht="14.45" customHeight="1" x14ac:dyDescent="0.25"/>
    <row r="34" ht="15" customHeight="1" x14ac:dyDescent="0.25"/>
  </sheetData>
  <sheetProtection algorithmName="SHA-512" hashValue="AHxNAAVaBcA9JfAVXfF2lKg5J1LyJ9L61277MS8Xu0zBH59wao6iz9JQGGjxQWQN9SdcQ8JzpXUPRYEwzC4KNw==" saltValue="DbXL6OjhM8zTx/HLnENoqw==" spinCount="100000" sheet="1" objects="1" scenarios="1"/>
  <mergeCells count="3">
    <mergeCell ref="B3:G6"/>
    <mergeCell ref="B12:G14"/>
    <mergeCell ref="B20:G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4df1d42-0b6e-4c9a-bde1-371b1f6221f7">
      <UserInfo>
        <DisplayName/>
        <AccountId xsi:nil="true"/>
        <AccountType/>
      </UserInfo>
    </SharedWithUsers>
    <lcf76f155ced4ddcb4097134ff3c332f xmlns="12380346-af75-4b42-99cb-3c92ab0c847d">
      <Terms xmlns="http://schemas.microsoft.com/office/infopath/2007/PartnerControls"/>
    </lcf76f155ced4ddcb4097134ff3c332f>
    <TaxCatchAll xmlns="c4df1d42-0b6e-4c9a-bde1-371b1f6221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46DD53A9704547929D8108F65BA31E" ma:contentTypeVersion="23" ma:contentTypeDescription="Create a new document." ma:contentTypeScope="" ma:versionID="4c53d81a057bb5102dd91d79a6d78782">
  <xsd:schema xmlns:xsd="http://www.w3.org/2001/XMLSchema" xmlns:xs="http://www.w3.org/2001/XMLSchema" xmlns:p="http://schemas.microsoft.com/office/2006/metadata/properties" xmlns:ns2="12380346-af75-4b42-99cb-3c92ab0c847d" xmlns:ns3="c4df1d42-0b6e-4c9a-bde1-371b1f6221f7" targetNamespace="http://schemas.microsoft.com/office/2006/metadata/properties" ma:root="true" ma:fieldsID="47f67200d53c0a35946d5503727b3146" ns2:_="" ns3:_="">
    <xsd:import namespace="12380346-af75-4b42-99cb-3c92ab0c847d"/>
    <xsd:import namespace="c4df1d42-0b6e-4c9a-bde1-371b1f622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80346-af75-4b42-99cb-3c92ab0c847d"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2a2e794-9366-4967-bc2f-bbaf13cd7d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df1d42-0b6e-4c9a-bde1-371b1f6221f7" elementFormDefault="qualified">
    <xsd:import namespace="http://schemas.microsoft.com/office/2006/documentManagement/types"/>
    <xsd:import namespace="http://schemas.microsoft.com/office/infopath/2007/PartnerControls"/>
    <xsd:element name="SharedWithUsers" ma:index="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c5d722-6427-4129-9b77-ff15ac65cb56}" ma:internalName="TaxCatchAll" ma:showField="CatchAllData" ma:web="c4df1d42-0b6e-4c9a-bde1-371b1f622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9CE399-7F2C-4AB7-B85C-DC0375166756}">
  <ds:schemaRefs>
    <ds:schemaRef ds:uri="http://schemas.microsoft.com/office/2006/metadata/properties"/>
    <ds:schemaRef ds:uri="http://schemas.microsoft.com/office/infopath/2007/PartnerControls"/>
    <ds:schemaRef ds:uri="c4df1d42-0b6e-4c9a-bde1-371b1f6221f7"/>
    <ds:schemaRef ds:uri="12380346-af75-4b42-99cb-3c92ab0c847d"/>
  </ds:schemaRefs>
</ds:datastoreItem>
</file>

<file path=customXml/itemProps2.xml><?xml version="1.0" encoding="utf-8"?>
<ds:datastoreItem xmlns:ds="http://schemas.openxmlformats.org/officeDocument/2006/customXml" ds:itemID="{C1D0050A-FED6-4543-856B-2489F0527F4E}">
  <ds:schemaRefs>
    <ds:schemaRef ds:uri="http://schemas.microsoft.com/sharepoint/v3/contenttype/forms"/>
  </ds:schemaRefs>
</ds:datastoreItem>
</file>

<file path=customXml/itemProps3.xml><?xml version="1.0" encoding="utf-8"?>
<ds:datastoreItem xmlns:ds="http://schemas.openxmlformats.org/officeDocument/2006/customXml" ds:itemID="{3B92DC2A-014F-4677-8734-85D05DDBC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80346-af75-4b42-99cb-3c92ab0c847d"/>
    <ds:schemaRef ds:uri="c4df1d42-0b6e-4c9a-bde1-371b1f622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2023 NOW-CALCULATOR</vt:lpstr>
      <vt:lpstr>PRINTABLE SUMMARY</vt:lpstr>
      <vt:lpstr>PAIRING DETAILS</vt:lpstr>
      <vt:lpstr>National_Header</vt:lpstr>
      <vt:lpstr>National_ProductForm</vt:lpstr>
      <vt:lpstr>National_Summary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McNamara</dc:creator>
  <cp:keywords/>
  <dc:description/>
  <cp:lastModifiedBy>Scott Canfield</cp:lastModifiedBy>
  <cp:revision/>
  <dcterms:created xsi:type="dcterms:W3CDTF">2021-09-07T21:38:27Z</dcterms:created>
  <dcterms:modified xsi:type="dcterms:W3CDTF">2023-08-06T00:15:45Z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0x0101003746DD53A9704547929D8108F65BA31E</vt:lpwstr>
  </property>
  <property fmtid="{D5CDD505-2E9C-101B-9397-08002B2CF9AE}" pid="3" name="c2b5fb8256bd435bb7806ac3891e195b">
    <vt:lpwstr>Short-Term|6d967203-8346-4b9c-90f8-b3828a3fa508</vt:lpwstr>
  </property>
  <property fmtid="{D5CDD505-2E9C-101B-9397-08002B2CF9AE}" pid="4" name="DataClassBayerRetention">
    <vt:lpwstr>1;#Short-Term|6d967203-8346-4b9c-90f8-b3828a3fa508</vt:lpwstr>
  </property>
  <property fmtid="{D5CDD505-2E9C-101B-9397-08002B2CF9AE}" pid="5" name="Order">
    <vt:r8>127100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7f850223-87a8-40c3-9eb2-432606efca2a_Enabled">
    <vt:lpwstr>true</vt:lpwstr>
  </property>
  <property fmtid="{D5CDD505-2E9C-101B-9397-08002B2CF9AE}" pid="13" name="MSIP_Label_7f850223-87a8-40c3-9eb2-432606efca2a_SetDate">
    <vt:lpwstr>2022-07-22T15:56:38Z</vt:lpwstr>
  </property>
  <property fmtid="{D5CDD505-2E9C-101B-9397-08002B2CF9AE}" pid="14" name="MSIP_Label_7f850223-87a8-40c3-9eb2-432606efca2a_Method">
    <vt:lpwstr>Privileged</vt:lpwstr>
  </property>
  <property fmtid="{D5CDD505-2E9C-101B-9397-08002B2CF9AE}" pid="15" name="MSIP_Label_7f850223-87a8-40c3-9eb2-432606efca2a_Name">
    <vt:lpwstr>7f850223-87a8-40c3-9eb2-432606efca2a</vt:lpwstr>
  </property>
  <property fmtid="{D5CDD505-2E9C-101B-9397-08002B2CF9AE}" pid="16" name="MSIP_Label_7f850223-87a8-40c3-9eb2-432606efca2a_SiteId">
    <vt:lpwstr>fcb2b37b-5da0-466b-9b83-0014b67a7c78</vt:lpwstr>
  </property>
  <property fmtid="{D5CDD505-2E9C-101B-9397-08002B2CF9AE}" pid="17" name="MSIP_Label_7f850223-87a8-40c3-9eb2-432606efca2a_ActionId">
    <vt:lpwstr>51fffae4-65b7-4d0e-b5e6-c46adae54804</vt:lpwstr>
  </property>
  <property fmtid="{D5CDD505-2E9C-101B-9397-08002B2CF9AE}" pid="18" name="MSIP_Label_7f850223-87a8-40c3-9eb2-432606efca2a_ContentBits">
    <vt:lpwstr>0</vt:lpwstr>
  </property>
  <property fmtid="{D5CDD505-2E9C-101B-9397-08002B2CF9AE}" pid="19" name="IbpWorkbookKeyString_GUID">
    <vt:lpwstr>7e9b61c9-a92b-42dc-a2ff-2e076b477a9c</vt:lpwstr>
  </property>
  <property fmtid="{D5CDD505-2E9C-101B-9397-08002B2CF9AE}" pid="20" name="MSIP_Label_52704955-3550-4c1c-9097-1672b88a0b7a_Enabled">
    <vt:lpwstr>true</vt:lpwstr>
  </property>
  <property fmtid="{D5CDD505-2E9C-101B-9397-08002B2CF9AE}" pid="21" name="MSIP_Label_52704955-3550-4c1c-9097-1672b88a0b7a_SetDate">
    <vt:lpwstr>2023-06-12T18:32:57Z</vt:lpwstr>
  </property>
  <property fmtid="{D5CDD505-2E9C-101B-9397-08002B2CF9AE}" pid="22" name="MSIP_Label_52704955-3550-4c1c-9097-1672b88a0b7a_Method">
    <vt:lpwstr>Standard</vt:lpwstr>
  </property>
  <property fmtid="{D5CDD505-2E9C-101B-9397-08002B2CF9AE}" pid="23" name="MSIP_Label_52704955-3550-4c1c-9097-1672b88a0b7a_Name">
    <vt:lpwstr>RESTRICTED</vt:lpwstr>
  </property>
  <property fmtid="{D5CDD505-2E9C-101B-9397-08002B2CF9AE}" pid="24" name="MSIP_Label_52704955-3550-4c1c-9097-1672b88a0b7a_SiteId">
    <vt:lpwstr>c4dedb74-d916-4ef4-b6b5-af80c59e9742</vt:lpwstr>
  </property>
  <property fmtid="{D5CDD505-2E9C-101B-9397-08002B2CF9AE}" pid="25" name="MSIP_Label_52704955-3550-4c1c-9097-1672b88a0b7a_ActionId">
    <vt:lpwstr>1f624100-52f8-4476-8624-c947816b3eef</vt:lpwstr>
  </property>
  <property fmtid="{D5CDD505-2E9C-101B-9397-08002B2CF9AE}" pid="26" name="MSIP_Label_52704955-3550-4c1c-9097-1672b88a0b7a_ContentBits">
    <vt:lpwstr>0</vt:lpwstr>
  </property>
  <property fmtid="{D5CDD505-2E9C-101B-9397-08002B2CF9AE}" pid="27" name="MediaServiceImageTags">
    <vt:lpwstr/>
  </property>
</Properties>
</file>